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Entry" sheetId="2" r:id="rId5"/>
    <sheet state="hidden" name="Running Collection" sheetId="3" r:id="rId6"/>
    <sheet state="hidden" name="Today Collection" sheetId="4" r:id="rId7"/>
    <sheet state="visible" name="A11 SRI CHAITANYA" sheetId="5" r:id="rId8"/>
    <sheet state="visible" name="A12 NGOS COLONY" sheetId="6" r:id="rId9"/>
    <sheet state="visible" name="A14 KOMPALLY" sheetId="7" r:id="rId10"/>
    <sheet state="visible" name="A15 GANESH TEMPLE" sheetId="8" r:id="rId11"/>
    <sheet state="visible" name="A17 RAMANTAPUR" sheetId="9" r:id="rId12"/>
    <sheet state="visible" name="A18 B N REDDY" sheetId="10" r:id="rId13"/>
    <sheet state="visible" name="A19 CENTRAL" sheetId="11" r:id="rId14"/>
  </sheets>
  <definedNames>
    <definedName hidden="1" localSheetId="0" name="_xlnm._FilterDatabase">Summary!$A$2:$K$10</definedName>
    <definedName hidden="1" localSheetId="1" name="_xlnm._FilterDatabase">Entry!$A$1:$M$174</definedName>
    <definedName hidden="1" localSheetId="2" name="_xlnm._FilterDatabase">'Running Collection'!$A$1:$F$9</definedName>
    <definedName hidden="1" localSheetId="3" name="_xlnm._FilterDatabase">'Today Collection'!$A$1:$F$9</definedName>
  </definedNames>
  <calcPr/>
</workbook>
</file>

<file path=xl/sharedStrings.xml><?xml version="1.0" encoding="utf-8"?>
<sst xmlns="http://schemas.openxmlformats.org/spreadsheetml/2006/main" count="362" uniqueCount="42">
  <si>
    <t xml:space="preserve">Running </t>
  </si>
  <si>
    <t>Store Name</t>
  </si>
  <si>
    <t>Total Collection</t>
  </si>
  <si>
    <t>Credit</t>
  </si>
  <si>
    <t>Transfer</t>
  </si>
  <si>
    <t>Number of Walkins</t>
  </si>
  <si>
    <t>Per Ticket Amount</t>
  </si>
  <si>
    <t>A11 SRI CHAIATNYA</t>
  </si>
  <si>
    <t>A12 NGOS COLONY</t>
  </si>
  <si>
    <t>A14 KOMPALLY</t>
  </si>
  <si>
    <t>A15 GANESH TEMPLE</t>
  </si>
  <si>
    <t>A17 RAMANTAPUR</t>
  </si>
  <si>
    <t>A18 BN REDDY</t>
  </si>
  <si>
    <t>A19 CENTRAL</t>
  </si>
  <si>
    <t>Grand Running Total</t>
  </si>
  <si>
    <t>Running Walkins</t>
  </si>
  <si>
    <t>Today Grand Total</t>
  </si>
  <si>
    <t>Today Walins</t>
  </si>
  <si>
    <t>टाइमस्टैम्प</t>
  </si>
  <si>
    <t>Date</t>
  </si>
  <si>
    <t>Store</t>
  </si>
  <si>
    <t>DAY SALSE</t>
  </si>
  <si>
    <t>UPI SALSE</t>
  </si>
  <si>
    <t>EDC SALSE</t>
  </si>
  <si>
    <t>CREDIT SALSE</t>
  </si>
  <si>
    <t>BRANCH TRANSFER (SC SALSE)</t>
  </si>
  <si>
    <t>STARTING BILL</t>
  </si>
  <si>
    <t>ENDING BILL</t>
  </si>
  <si>
    <t>BANK DEPOSIT</t>
  </si>
  <si>
    <t>OTHER EXPENDITURES</t>
  </si>
  <si>
    <t>Walkins</t>
  </si>
  <si>
    <t>no</t>
  </si>
  <si>
    <t>NO</t>
  </si>
  <si>
    <t>49367'</t>
  </si>
  <si>
    <t>66000/-</t>
  </si>
  <si>
    <t>16000/-</t>
  </si>
  <si>
    <t>Timestamp</t>
  </si>
  <si>
    <t>BANK POSIT</t>
  </si>
  <si>
    <t>Running Colection</t>
  </si>
  <si>
    <t>Today's Collection</t>
  </si>
  <si>
    <t>Grand Total</t>
  </si>
  <si>
    <t>walkins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</si>
</sst>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dd/mm/yyyy"/>
    <numFmt numFmtId="165" formatCode="#,##0.00;(#,##0.00)"/>
    <numFmt numFmtId="166" formatCode="[$Rs-420]#,##0.00"/>
    <numFmt numFmtId="167" formatCode="_-[$Rs-420]* #,##0.00_-;_-[$Rs-420]* \-#,##0.00_-;_-[$Rs-420]* &quot;-&quot;??_-;_-@"/>
    <numFmt numFmtId="168" formatCode="d&quot;-&quot;m&quot;-&quot;yy&quot;-&quot;h&quot;:&quot;m&quot;:&quot;s"/>
    <numFmt numFmtId="169" formatCode="d&quot;/&quot;m&quot;/&quot;yy"/>
    <numFmt numFmtId="170" formatCode="dd/MM/yyyy HH:mm:ss"/>
    <numFmt numFmtId="171" formatCode="dd/MM/yyyy"/>
    <numFmt numFmtId="172" formatCode="m/d/yyyy h:mm:ss"/>
    <numFmt numFmtId="173" formatCode="dd-mm-yyyy hh:mm:ss"/>
    <numFmt numFmtId="174" formatCode="dd-mm-yyyy"/>
    <numFmt numFmtId="175" formatCode="_-[$Rs-420]* #,##0_-;_-[$Rs-420]* \-#,##0_-;_-[$Rs-420]* &quot;-&quot;??_-;_-@"/>
    <numFmt numFmtId="176" formatCode="m/d/yyyy"/>
  </numFmts>
  <fonts count="17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2.0"/>
      <color rgb="FFFF0000"/>
      <name val="Google Sans Mono"/>
    </font>
    <font>
      <sz val="11.0"/>
      <color rgb="FF000000"/>
      <name val="Calibri"/>
    </font>
    <font>
      <sz val="10.0"/>
      <color theme="1"/>
      <name val="Times New Roman"/>
    </font>
    <font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9.0"/>
      <color theme="1"/>
      <name val="Google Sans Mono"/>
    </font>
    <font>
      <sz val="16.0"/>
      <color theme="1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sz val="19.0"/>
      <color theme="1"/>
      <name val="Arial"/>
      <scheme val="minor"/>
    </font>
    <font>
      <sz val="18.0"/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4" fontId="3" numFmtId="164" xfId="0" applyAlignment="1" applyBorder="1" applyFill="1" applyFont="1" applyNumberFormat="1">
      <alignment horizontal="center" readingOrder="0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vertical="center"/>
    </xf>
    <xf borderId="5" fillId="5" fontId="4" numFmtId="0" xfId="0" applyAlignment="1" applyBorder="1" applyFill="1" applyFont="1">
      <alignment horizontal="center" readingOrder="0" shrinkToFit="0" vertical="center" wrapText="1"/>
    </xf>
    <xf borderId="5" fillId="0" fontId="5" numFmtId="165" xfId="0" applyAlignment="1" applyBorder="1" applyFont="1" applyNumberFormat="1">
      <alignment horizontal="right" vertical="center"/>
    </xf>
    <xf borderId="5" fillId="0" fontId="5" numFmtId="3" xfId="0" applyAlignment="1" applyBorder="1" applyFont="1" applyNumberFormat="1">
      <alignment horizontal="center" vertical="center"/>
    </xf>
    <xf borderId="5" fillId="0" fontId="5" numFmtId="165" xfId="0" applyAlignment="1" applyBorder="1" applyFont="1" applyNumberFormat="1">
      <alignment horizontal="center" vertical="center"/>
    </xf>
    <xf borderId="2" fillId="6" fontId="1" numFmtId="0" xfId="0" applyAlignment="1" applyBorder="1" applyFill="1" applyFont="1">
      <alignment horizontal="center" readingOrder="0" shrinkToFit="0" vertical="center" wrapText="1"/>
    </xf>
    <xf borderId="2" fillId="4" fontId="1" numFmtId="166" xfId="0" applyAlignment="1" applyBorder="1" applyFont="1" applyNumberFormat="1">
      <alignment horizontal="right" vertical="center"/>
    </xf>
    <xf borderId="3" fillId="4" fontId="1" numFmtId="3" xfId="0" applyAlignment="1" applyBorder="1" applyFont="1" applyNumberFormat="1">
      <alignment horizontal="center" readingOrder="0" shrinkToFit="0" vertical="center" wrapText="1"/>
    </xf>
    <xf borderId="3" fillId="5" fontId="6" numFmtId="0" xfId="0" applyAlignment="1" applyBorder="1" applyFont="1">
      <alignment horizontal="center" readingOrder="0" vertical="center"/>
    </xf>
    <xf borderId="2" fillId="6" fontId="1" numFmtId="0" xfId="0" applyAlignment="1" applyBorder="1" applyFont="1">
      <alignment horizontal="right" readingOrder="0" shrinkToFit="0" vertical="center" wrapText="1"/>
    </xf>
    <xf borderId="3" fillId="4" fontId="1" numFmtId="167" xfId="0" applyAlignment="1" applyBorder="1" applyFont="1" applyNumberFormat="1">
      <alignment horizontal="center" readingOrder="0" shrinkToFit="0" vertical="center" wrapText="1"/>
    </xf>
    <xf borderId="3" fillId="6" fontId="1" numFmtId="0" xfId="0" applyAlignment="1" applyBorder="1" applyFont="1">
      <alignment horizontal="center" readingOrder="0" vertical="center"/>
    </xf>
    <xf borderId="4" fillId="5" fontId="6" numFmtId="0" xfId="0" applyAlignment="1" applyBorder="1" applyFont="1">
      <alignment horizontal="center" vertical="center"/>
    </xf>
    <xf borderId="5" fillId="0" fontId="7" numFmtId="168" xfId="0" applyAlignment="1" applyBorder="1" applyFont="1" applyNumberFormat="1">
      <alignment horizontal="center" readingOrder="0" shrinkToFit="0" vertical="center" wrapText="0"/>
    </xf>
    <xf borderId="5" fillId="0" fontId="7" numFmtId="169" xfId="0" applyAlignment="1" applyBorder="1" applyFont="1" applyNumberForma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0"/>
    </xf>
    <xf borderId="6" fillId="0" fontId="7" numFmtId="0" xfId="0" applyAlignment="1" applyBorder="1" applyFont="1">
      <alignment horizontal="center" readingOrder="0" shrinkToFit="0" vertical="center" wrapText="0"/>
    </xf>
    <xf borderId="7" fillId="0" fontId="7" numFmtId="170" xfId="0" applyAlignment="1" applyBorder="1" applyFont="1" applyNumberFormat="1">
      <alignment horizontal="center" readingOrder="0" shrinkToFit="0" vertical="center" wrapText="0"/>
    </xf>
    <xf borderId="8" fillId="0" fontId="7" numFmtId="171" xfId="0" applyAlignment="1" applyBorder="1" applyFont="1" applyNumberFormat="1">
      <alignment horizontal="center" readingOrder="0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9" fillId="0" fontId="7" numFmtId="0" xfId="0" applyAlignment="1" applyBorder="1" applyFont="1">
      <alignment horizontal="center" readingOrder="0" shrinkToFit="0" vertical="center" wrapText="0"/>
    </xf>
    <xf borderId="10" fillId="0" fontId="7" numFmtId="170" xfId="0" applyAlignment="1" applyBorder="1" applyFont="1" applyNumberFormat="1">
      <alignment horizontal="center" readingOrder="0" shrinkToFit="0" vertical="center" wrapText="0"/>
    </xf>
    <xf borderId="11" fillId="0" fontId="7" numFmtId="171" xfId="0" applyAlignment="1" applyBorder="1" applyFont="1" applyNumberFormat="1">
      <alignment horizontal="center" readingOrder="0" shrinkToFit="0" vertical="center" wrapText="0"/>
    </xf>
    <xf borderId="11" fillId="0" fontId="7" numFmtId="0" xfId="0" applyAlignment="1" applyBorder="1" applyFont="1">
      <alignment horizontal="center" readingOrder="0" shrinkToFit="0" vertical="center" wrapText="0"/>
    </xf>
    <xf borderId="11" fillId="0" fontId="7" numFmtId="0" xfId="0" applyAlignment="1" applyBorder="1" applyFont="1">
      <alignment horizontal="center" readingOrder="0" shrinkToFit="0" vertical="center" wrapText="0"/>
    </xf>
    <xf borderId="12" fillId="0" fontId="7" numFmtId="0" xfId="0" applyAlignment="1" applyBorder="1" applyFont="1">
      <alignment horizontal="center" readingOrder="0" shrinkToFit="0" vertical="center" wrapText="0"/>
    </xf>
    <xf borderId="11" fillId="0" fontId="7" numFmtId="0" xfId="0" applyAlignment="1" applyBorder="1" applyFont="1">
      <alignment horizontal="center" shrinkToFit="0" vertical="center" wrapText="0"/>
    </xf>
    <xf borderId="10" fillId="0" fontId="7" numFmtId="172" xfId="0" applyAlignment="1" applyBorder="1" applyFont="1" applyNumberFormat="1">
      <alignment horizontal="center" readingOrder="0" shrinkToFit="0" vertical="center" wrapText="0"/>
    </xf>
    <xf borderId="11" fillId="0" fontId="7" numFmtId="49" xfId="0" applyAlignment="1" applyBorder="1" applyFont="1" applyNumberFormat="1">
      <alignment horizontal="center" readingOrder="0" shrinkToFit="0" vertical="center" wrapText="0"/>
    </xf>
    <xf borderId="7" fillId="0" fontId="7" numFmtId="172" xfId="0" applyAlignment="1" applyBorder="1" applyFont="1" applyNumberFormat="1">
      <alignment horizontal="center" readingOrder="0" shrinkToFit="0" vertical="center" wrapText="0"/>
    </xf>
    <xf borderId="8" fillId="0" fontId="7" numFmtId="49" xfId="0" applyAlignment="1" applyBorder="1" applyFont="1" applyNumberFormat="1">
      <alignment horizontal="center" readingOrder="0" shrinkToFit="0" vertical="center" wrapText="0"/>
    </xf>
    <xf borderId="7" fillId="0" fontId="8" numFmtId="172" xfId="0" applyAlignment="1" applyBorder="1" applyFont="1" applyNumberFormat="1">
      <alignment horizontal="center" readingOrder="0" shrinkToFit="0" vertical="center" wrapText="0"/>
    </xf>
    <xf borderId="8" fillId="0" fontId="8" numFmtId="171" xfId="0" applyAlignment="1" applyBorder="1" applyFont="1" applyNumberFormat="1">
      <alignment horizontal="center" readingOrder="0" shrinkToFit="0" vertical="center" wrapText="0"/>
    </xf>
    <xf borderId="8" fillId="0" fontId="8" numFmtId="49" xfId="0" applyAlignment="1" applyBorder="1" applyFont="1" applyNumberFormat="1">
      <alignment horizontal="center" readingOrder="0" shrinkToFit="0" vertical="center" wrapText="0"/>
    </xf>
    <xf borderId="8" fillId="0" fontId="8" numFmtId="0" xfId="0" applyAlignment="1" applyBorder="1" applyFont="1">
      <alignment horizontal="center" readingOrder="0" shrinkToFit="0" vertical="center" wrapText="0"/>
    </xf>
    <xf borderId="9" fillId="0" fontId="8" numFmtId="0" xfId="0" applyAlignment="1" applyBorder="1" applyFont="1">
      <alignment horizontal="center" readingOrder="0" shrinkToFit="0" vertical="center" wrapText="0"/>
    </xf>
    <xf borderId="10" fillId="0" fontId="8" numFmtId="172" xfId="0" applyAlignment="1" applyBorder="1" applyFont="1" applyNumberFormat="1">
      <alignment horizontal="center" readingOrder="0" shrinkToFit="0" vertical="center" wrapText="0"/>
    </xf>
    <xf borderId="11" fillId="0" fontId="8" numFmtId="171" xfId="0" applyAlignment="1" applyBorder="1" applyFont="1" applyNumberFormat="1">
      <alignment horizontal="center" readingOrder="0" shrinkToFit="0" vertical="center" wrapText="0"/>
    </xf>
    <xf borderId="11" fillId="0" fontId="8" numFmtId="49" xfId="0" applyAlignment="1" applyBorder="1" applyFont="1" applyNumberFormat="1">
      <alignment horizontal="center" readingOrder="0" shrinkToFit="0" vertical="center" wrapText="0"/>
    </xf>
    <xf borderId="11" fillId="0" fontId="8" numFmtId="0" xfId="0" applyAlignment="1" applyBorder="1" applyFont="1">
      <alignment horizontal="center" readingOrder="0" shrinkToFit="0" vertical="center" wrapText="0"/>
    </xf>
    <xf borderId="12" fillId="0" fontId="8" numFmtId="0" xfId="0" applyAlignment="1" applyBorder="1" applyFont="1">
      <alignment horizontal="center" readingOrder="0" shrinkToFit="0" vertical="center" wrapText="0"/>
    </xf>
    <xf borderId="8" fillId="0" fontId="8" numFmtId="0" xfId="0" applyAlignment="1" applyBorder="1" applyFont="1">
      <alignment horizontal="center" shrinkToFit="0" vertical="center" wrapText="0"/>
    </xf>
    <xf borderId="9" fillId="0" fontId="8" numFmtId="0" xfId="0" applyAlignment="1" applyBorder="1" applyFont="1">
      <alignment horizontal="center" shrinkToFit="0" vertical="center" wrapText="0"/>
    </xf>
    <xf borderId="11" fillId="0" fontId="8" numFmtId="0" xfId="0" applyAlignment="1" applyBorder="1" applyFont="1">
      <alignment horizontal="center" shrinkToFit="0" vertical="center" wrapText="0"/>
    </xf>
    <xf borderId="11" fillId="0" fontId="8" numFmtId="0" xfId="0" applyAlignment="1" applyBorder="1" applyFont="1">
      <alignment horizontal="center" readingOrder="0" shrinkToFit="0" vertical="center" wrapText="0"/>
    </xf>
    <xf borderId="12" fillId="0" fontId="8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readingOrder="0" shrinkToFit="0" vertical="center" wrapText="0"/>
    </xf>
    <xf borderId="9" fillId="0" fontId="8" numFmtId="0" xfId="0" applyAlignment="1" applyBorder="1" applyFont="1">
      <alignment horizontal="center" shrinkToFit="0" vertical="center" wrapText="0"/>
    </xf>
    <xf borderId="12" fillId="0" fontId="8" numFmtId="0" xfId="0" applyAlignment="1" applyBorder="1" applyFont="1">
      <alignment horizontal="center" shrinkToFit="0" vertical="center" wrapText="0"/>
    </xf>
    <xf borderId="10" fillId="0" fontId="8" numFmtId="172" xfId="0" applyAlignment="1" applyBorder="1" applyFont="1" applyNumberFormat="1">
      <alignment readingOrder="0" shrinkToFit="0" vertical="center" wrapText="0"/>
    </xf>
    <xf borderId="11" fillId="0" fontId="8" numFmtId="171" xfId="0" applyAlignment="1" applyBorder="1" applyFont="1" applyNumberFormat="1">
      <alignment readingOrder="0" shrinkToFit="0" vertical="center" wrapText="0"/>
    </xf>
    <xf borderId="11" fillId="0" fontId="8" numFmtId="49" xfId="0" applyAlignment="1" applyBorder="1" applyFont="1" applyNumberFormat="1">
      <alignment readingOrder="0" shrinkToFit="0" vertical="center" wrapText="0"/>
    </xf>
    <xf borderId="11" fillId="0" fontId="8" numFmtId="0" xfId="0" applyAlignment="1" applyBorder="1" applyFont="1">
      <alignment readingOrder="0" shrinkToFit="0" vertical="center" wrapText="0"/>
    </xf>
    <xf borderId="11" fillId="0" fontId="8" numFmtId="0" xfId="0" applyAlignment="1" applyBorder="1" applyFont="1">
      <alignment shrinkToFit="0" vertical="center" wrapText="0"/>
    </xf>
    <xf borderId="12" fillId="0" fontId="8" numFmtId="0" xfId="0" applyAlignment="1" applyBorder="1" applyFont="1">
      <alignment shrinkToFit="0" vertical="center" wrapText="0"/>
    </xf>
    <xf borderId="7" fillId="0" fontId="8" numFmtId="172" xfId="0" applyAlignment="1" applyBorder="1" applyFont="1" applyNumberFormat="1">
      <alignment readingOrder="0" shrinkToFit="0" vertical="center" wrapText="0"/>
    </xf>
    <xf borderId="8" fillId="0" fontId="8" numFmtId="171" xfId="0" applyAlignment="1" applyBorder="1" applyFont="1" applyNumberFormat="1">
      <alignment readingOrder="0" shrinkToFit="0" vertical="center" wrapText="0"/>
    </xf>
    <xf borderId="8" fillId="0" fontId="8" numFmtId="49" xfId="0" applyAlignment="1" applyBorder="1" applyFont="1" applyNumberForma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9" fillId="0" fontId="8" numFmtId="0" xfId="0" applyAlignment="1" applyBorder="1" applyFont="1">
      <alignment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7" fillId="0" fontId="7" numFmtId="170" xfId="0" applyAlignment="1" applyBorder="1" applyFont="1" applyNumberFormat="1">
      <alignment horizontal="center" shrinkToFit="0" vertical="center" wrapText="0"/>
    </xf>
    <xf borderId="8" fillId="0" fontId="7" numFmtId="171" xfId="0" applyAlignment="1" applyBorder="1" applyFont="1" applyNumberFormat="1">
      <alignment horizontal="center" shrinkToFit="0" vertical="center" wrapText="0"/>
    </xf>
    <xf borderId="8" fillId="0" fontId="7" numFmtId="49" xfId="0" applyAlignment="1" applyBorder="1" applyFont="1" applyNumberFormat="1">
      <alignment horizontal="center" shrinkToFit="0" vertical="center" wrapText="0"/>
    </xf>
    <xf borderId="8" fillId="0" fontId="7" numFmtId="0" xfId="0" applyAlignment="1" applyBorder="1" applyFont="1">
      <alignment horizontal="center" shrinkToFit="0" vertical="center" wrapText="0"/>
    </xf>
    <xf borderId="9" fillId="0" fontId="7" numFmtId="0" xfId="0" applyAlignment="1" applyBorder="1" applyFont="1">
      <alignment horizontal="center" shrinkToFit="0" vertical="center" wrapText="0"/>
    </xf>
    <xf borderId="10" fillId="0" fontId="7" numFmtId="170" xfId="0" applyAlignment="1" applyBorder="1" applyFont="1" applyNumberFormat="1">
      <alignment horizontal="center" shrinkToFit="0" vertical="center" wrapText="0"/>
    </xf>
    <xf borderId="11" fillId="0" fontId="7" numFmtId="171" xfId="0" applyAlignment="1" applyBorder="1" applyFont="1" applyNumberFormat="1">
      <alignment horizontal="center" shrinkToFit="0" vertical="center" wrapText="0"/>
    </xf>
    <xf borderId="11" fillId="0" fontId="7" numFmtId="49" xfId="0" applyAlignment="1" applyBorder="1" applyFont="1" applyNumberFormat="1">
      <alignment horizontal="center" shrinkToFit="0" vertical="center" wrapText="0"/>
    </xf>
    <xf borderId="12" fillId="0" fontId="7" numFmtId="0" xfId="0" applyAlignment="1" applyBorder="1" applyFont="1">
      <alignment horizontal="center" shrinkToFit="0" vertical="center" wrapText="0"/>
    </xf>
    <xf borderId="13" fillId="0" fontId="7" numFmtId="170" xfId="0" applyAlignment="1" applyBorder="1" applyFont="1" applyNumberFormat="1">
      <alignment horizontal="center" shrinkToFit="0" vertical="center" wrapText="0"/>
    </xf>
    <xf borderId="14" fillId="0" fontId="7" numFmtId="171" xfId="0" applyAlignment="1" applyBorder="1" applyFont="1" applyNumberFormat="1">
      <alignment horizontal="center" shrinkToFit="0" vertical="center" wrapText="0"/>
    </xf>
    <xf borderId="14" fillId="0" fontId="7" numFmtId="49" xfId="0" applyAlignment="1" applyBorder="1" applyFont="1" applyNumberFormat="1">
      <alignment horizontal="center" shrinkToFit="0" vertical="center" wrapText="0"/>
    </xf>
    <xf borderId="14" fillId="0" fontId="7" numFmtId="0" xfId="0" applyAlignment="1" applyBorder="1" applyFont="1">
      <alignment horizontal="center" shrinkToFit="0" vertical="center" wrapText="0"/>
    </xf>
    <xf borderId="15" fillId="0" fontId="7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vertical="center"/>
    </xf>
    <xf borderId="0" fillId="0" fontId="9" numFmtId="164" xfId="0" applyAlignment="1" applyFont="1" applyNumberFormat="1">
      <alignment horizontal="center" readingOrder="0" vertical="center"/>
    </xf>
    <xf borderId="0" fillId="0" fontId="7" numFmtId="173" xfId="0" applyAlignment="1" applyFont="1" applyNumberFormat="1">
      <alignment horizontal="center" readingOrder="0" vertical="center"/>
    </xf>
    <xf borderId="0" fillId="0" fontId="7" numFmtId="174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5" fillId="0" fontId="7" numFmtId="167" xfId="0" applyAlignment="1" applyBorder="1" applyFont="1" applyNumberFormat="1">
      <alignment horizontal="center" vertical="center"/>
    </xf>
    <xf borderId="5" fillId="0" fontId="7" numFmtId="167" xfId="0" applyAlignment="1" applyBorder="1" applyFont="1" applyNumberFormat="1">
      <alignment horizontal="left" vertical="center"/>
    </xf>
    <xf borderId="5" fillId="0" fontId="7" numFmtId="3" xfId="0" applyAlignment="1" applyBorder="1" applyFont="1" applyNumberFormat="1">
      <alignment horizontal="center" vertical="center"/>
    </xf>
    <xf borderId="2" fillId="4" fontId="1" numFmtId="166" xfId="0" applyAlignment="1" applyBorder="1" applyFont="1" applyNumberFormat="1">
      <alignment horizontal="center" vertical="center"/>
    </xf>
    <xf borderId="5" fillId="0" fontId="7" numFmtId="175" xfId="0" applyAlignment="1" applyBorder="1" applyFont="1" applyNumberFormat="1">
      <alignment horizontal="center" vertical="center"/>
    </xf>
    <xf borderId="5" fillId="0" fontId="7" numFmtId="0" xfId="0" applyAlignment="1" applyBorder="1" applyFont="1">
      <alignment horizontal="center" vertical="center"/>
    </xf>
    <xf borderId="3" fillId="4" fontId="1" numFmtId="167" xfId="0" applyAlignment="1" applyBorder="1" applyFont="1" applyNumberFormat="1">
      <alignment horizontal="left" readingOrder="0" shrinkToFit="0" vertical="center" wrapText="1"/>
    </xf>
    <xf borderId="5" fillId="0" fontId="8" numFmtId="168" xfId="0" applyAlignment="1" applyBorder="1" applyFont="1" applyNumberFormat="1">
      <alignment horizontal="center" readingOrder="0" shrinkToFit="0" vertical="center" wrapText="0"/>
    </xf>
    <xf borderId="5" fillId="0" fontId="8" numFmtId="169" xfId="0" applyAlignment="1" applyBorder="1" applyFont="1" applyNumberForma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right" readingOrder="0" shrinkToFit="0" vertical="center" wrapText="0"/>
    </xf>
    <xf borderId="6" fillId="0" fontId="8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13" fillId="0" fontId="8" numFmtId="170" xfId="0" applyAlignment="1" applyBorder="1" applyFont="1" applyNumberFormat="1">
      <alignment shrinkToFit="0" vertical="center" wrapText="0"/>
    </xf>
    <xf borderId="14" fillId="0" fontId="8" numFmtId="171" xfId="0" applyAlignment="1" applyBorder="1" applyFont="1" applyNumberFormat="1">
      <alignment shrinkToFit="0" vertical="center" wrapText="0"/>
    </xf>
    <xf borderId="14" fillId="0" fontId="8" numFmtId="0" xfId="0" applyAlignment="1" applyBorder="1" applyFont="1">
      <alignment shrinkToFit="0" vertical="center" wrapText="0"/>
    </xf>
    <xf borderId="14" fillId="0" fontId="8" numFmtId="0" xfId="0" applyAlignment="1" applyBorder="1" applyFont="1">
      <alignment shrinkToFit="0" vertical="center" wrapText="0"/>
    </xf>
    <xf borderId="14" fillId="0" fontId="8" numFmtId="0" xfId="0" applyAlignment="1" applyBorder="1" applyFont="1">
      <alignment horizontal="right" shrinkToFit="0" vertical="center" wrapText="0"/>
    </xf>
    <xf borderId="15" fillId="0" fontId="8" numFmtId="0" xfId="0" applyAlignment="1" applyBorder="1" applyFont="1">
      <alignment shrinkToFit="0" vertical="center" wrapText="0"/>
    </xf>
    <xf borderId="0" fillId="0" fontId="8" numFmtId="176" xfId="0" applyAlignment="1" applyFont="1" applyNumberFormat="1">
      <alignment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2" xfId="0" applyAlignment="1" applyFont="1" applyNumberFormat="1">
      <alignment horizontal="center"/>
    </xf>
    <xf borderId="0" fillId="0" fontId="8" numFmtId="172" xfId="0" applyFont="1" applyNumberFormat="1"/>
    <xf borderId="0" fillId="0" fontId="8" numFmtId="171" xfId="0" applyFont="1" applyNumberFormat="1"/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/>
    </xf>
    <xf borderId="0" fillId="0" fontId="10" numFmtId="0" xfId="0" applyAlignment="1" applyFont="1">
      <alignment horizontal="center"/>
    </xf>
    <xf borderId="0" fillId="0" fontId="10" numFmtId="0" xfId="0" applyFont="1"/>
    <xf borderId="5" fillId="0" fontId="8" numFmtId="169" xfId="0" applyAlignment="1" applyBorder="1" applyFont="1" applyNumberFormat="1">
      <alignment horizontal="right" readingOrder="0" shrinkToFit="0" vertical="center" wrapText="0"/>
    </xf>
    <xf borderId="13" fillId="0" fontId="11" numFmtId="170" xfId="0" applyAlignment="1" applyBorder="1" applyFont="1" applyNumberFormat="1">
      <alignment shrinkToFit="0" vertical="center" wrapText="0"/>
    </xf>
    <xf borderId="14" fillId="0" fontId="12" numFmtId="171" xfId="0" applyAlignment="1" applyBorder="1" applyFont="1" applyNumberFormat="1">
      <alignment horizontal="right" shrinkToFit="0" vertical="center" wrapText="0"/>
    </xf>
    <xf borderId="14" fillId="0" fontId="12" numFmtId="0" xfId="0" applyAlignment="1" applyBorder="1" applyFont="1">
      <alignment shrinkToFit="0" vertical="center" wrapText="0"/>
    </xf>
    <xf borderId="14" fillId="0" fontId="12" numFmtId="0" xfId="0" applyAlignment="1" applyBorder="1" applyFont="1">
      <alignment shrinkToFit="0" vertical="center" wrapText="0"/>
    </xf>
    <xf borderId="14" fillId="0" fontId="12" numFmtId="0" xfId="0" applyAlignment="1" applyBorder="1" applyFont="1">
      <alignment horizontal="right" shrinkToFit="0" vertical="center" wrapText="0"/>
    </xf>
    <xf borderId="15" fillId="0" fontId="12" numFmtId="0" xfId="0" applyAlignment="1" applyBorder="1" applyFont="1">
      <alignment shrinkToFit="0" vertical="center" wrapText="0"/>
    </xf>
    <xf borderId="0" fillId="0" fontId="11" numFmtId="0" xfId="0" applyFont="1"/>
    <xf borderId="0" fillId="0" fontId="8" numFmtId="170" xfId="0" applyFont="1" applyNumberFormat="1"/>
    <xf borderId="0" fillId="0" fontId="8" numFmtId="171" xfId="0" applyAlignment="1" applyFont="1" applyNumberFormat="1">
      <alignment horizontal="right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3" numFmtId="0" xfId="0" applyAlignment="1" applyFont="1">
      <alignment horizontal="left"/>
    </xf>
    <xf borderId="13" fillId="0" fontId="8" numFmtId="170" xfId="0" applyAlignment="1" applyBorder="1" applyFont="1" applyNumberFormat="1">
      <alignment horizontal="center" shrinkToFit="0" vertical="center" wrapText="0"/>
    </xf>
    <xf borderId="14" fillId="0" fontId="8" numFmtId="171" xfId="0" applyAlignment="1" applyBorder="1" applyFont="1" applyNumberFormat="1">
      <alignment horizontal="center" shrinkToFit="0" vertical="center" wrapText="0"/>
    </xf>
    <xf borderId="14" fillId="0" fontId="8" numFmtId="0" xfId="0" applyAlignment="1" applyBorder="1" applyFont="1">
      <alignment horizontal="center" shrinkToFit="0" vertical="center" wrapText="0"/>
    </xf>
    <xf borderId="14" fillId="0" fontId="8" numFmtId="0" xfId="0" applyAlignment="1" applyBorder="1" applyFont="1">
      <alignment horizontal="center" shrinkToFit="0" vertical="center" wrapText="0"/>
    </xf>
    <xf borderId="15" fillId="0" fontId="8" numFmtId="0" xfId="0" applyAlignment="1" applyBorder="1" applyFont="1">
      <alignment horizontal="center" shrinkToFit="0" vertical="center" wrapText="0"/>
    </xf>
    <xf borderId="0" fillId="0" fontId="8" numFmtId="170" xfId="0" applyAlignment="1" applyFont="1" applyNumberFormat="1">
      <alignment horizontal="center"/>
    </xf>
    <xf borderId="0" fillId="0" fontId="8" numFmtId="171" xfId="0" applyAlignment="1" applyFont="1" applyNumberFormat="1">
      <alignment horizontal="center"/>
    </xf>
    <xf borderId="0" fillId="0" fontId="8" numFmtId="172" xfId="0" applyAlignment="1" applyFont="1" applyNumberFormat="1">
      <alignment horizontal="center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13" fillId="0" fontId="15" numFmtId="170" xfId="0" applyAlignment="1" applyBorder="1" applyFont="1" applyNumberFormat="1">
      <alignment shrinkToFit="0" vertical="center" wrapText="0"/>
    </xf>
    <xf borderId="14" fillId="0" fontId="15" numFmtId="171" xfId="0" applyAlignment="1" applyBorder="1" applyFont="1" applyNumberFormat="1">
      <alignment shrinkToFit="0" vertical="center" wrapText="0"/>
    </xf>
    <xf borderId="14" fillId="0" fontId="15" numFmtId="0" xfId="0" applyAlignment="1" applyBorder="1" applyFont="1">
      <alignment shrinkToFit="0" vertical="center" wrapText="0"/>
    </xf>
    <xf borderId="14" fillId="0" fontId="15" numFmtId="0" xfId="0" applyAlignment="1" applyBorder="1" applyFont="1">
      <alignment shrinkToFit="0" vertical="center" wrapText="0"/>
    </xf>
    <xf borderId="15" fillId="0" fontId="15" numFmtId="0" xfId="0" applyAlignment="1" applyBorder="1" applyFont="1">
      <alignment shrinkToFit="0" vertical="center" wrapText="0"/>
    </xf>
    <xf borderId="0" fillId="0" fontId="15" numFmtId="0" xfId="0" applyFont="1"/>
    <xf borderId="0" fillId="0" fontId="14" numFmtId="0" xfId="0" applyAlignment="1" applyFont="1">
      <alignment readingOrder="0"/>
    </xf>
    <xf borderId="0" fillId="0" fontId="14" numFmtId="0" xfId="0" applyFont="1"/>
    <xf borderId="0" fillId="0" fontId="14" numFmtId="0" xfId="0" applyFont="1"/>
    <xf borderId="0" fillId="0" fontId="14" numFmtId="0" xfId="0" applyAlignment="1" applyFont="1">
      <alignment horizontal="center"/>
    </xf>
    <xf borderId="5" fillId="0" fontId="16" numFmtId="168" xfId="0" applyAlignment="1" applyBorder="1" applyFont="1" applyNumberFormat="1">
      <alignment horizontal="center" readingOrder="0" shrinkToFit="0" vertical="center" wrapText="0"/>
    </xf>
    <xf borderId="0" fillId="0" fontId="8" numFmtId="164" xfId="0" applyAlignment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8">
    <tableStyle count="3" pivot="0" name="Entry-style">
      <tableStyleElement dxfId="3" type="headerRow"/>
      <tableStyleElement dxfId="4" type="firstRowStripe"/>
      <tableStyleElement dxfId="5" type="secondRowStripe"/>
    </tableStyle>
    <tableStyle count="3" pivot="0" name="A11 SRI CHAITANYA-style">
      <tableStyleElement dxfId="3" type="headerRow"/>
      <tableStyleElement dxfId="4" type="firstRowStripe"/>
      <tableStyleElement dxfId="6" type="secondRowStripe"/>
    </tableStyle>
    <tableStyle count="3" pivot="0" name="A12 NGOS COLONY-style">
      <tableStyleElement dxfId="3" type="headerRow"/>
      <tableStyleElement dxfId="4" type="firstRowStripe"/>
      <tableStyleElement dxfId="6" type="secondRowStripe"/>
    </tableStyle>
    <tableStyle count="3" pivot="0" name="A14 KOMPALLY-style">
      <tableStyleElement dxfId="3" type="headerRow"/>
      <tableStyleElement dxfId="4" type="firstRowStripe"/>
      <tableStyleElement dxfId="6" type="secondRowStripe"/>
    </tableStyle>
    <tableStyle count="3" pivot="0" name="A15 GANESH TEMPLE-style">
      <tableStyleElement dxfId="3" type="headerRow"/>
      <tableStyleElement dxfId="4" type="firstRowStripe"/>
      <tableStyleElement dxfId="6" type="secondRowStripe"/>
    </tableStyle>
    <tableStyle count="3" pivot="0" name="A17 RAMANTAPUR-style">
      <tableStyleElement dxfId="3" type="headerRow"/>
      <tableStyleElement dxfId="4" type="firstRowStripe"/>
      <tableStyleElement dxfId="6" type="secondRowStripe"/>
    </tableStyle>
    <tableStyle count="3" pivot="0" name="A18 B N REDDY-style">
      <tableStyleElement dxfId="3" type="headerRow"/>
      <tableStyleElement dxfId="4" type="firstRowStripe"/>
      <tableStyleElement dxfId="6" type="secondRowStripe"/>
    </tableStyle>
    <tableStyle count="3" pivot="0" name="A19 CENTRAL-style">
      <tableStyleElement dxfId="3" type="headerRow"/>
      <tableStyleElement dxfId="4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74" displayName="All_Stores_Collection_Data" name="All_Stores_Collection_Data" id="1">
  <autoFilter ref="$A$1:$M$174"/>
  <tableColumns count="13">
    <tableColumn name="टाइमस्टैम्प" id="1"/>
    <tableColumn name="Date" id="2"/>
    <tableColumn name="Store" id="3"/>
    <tableColumn name="DAY SALSE" id="4"/>
    <tableColumn name="UPI SALSE" id="5"/>
    <tableColumn name="EDC SALSE" id="6"/>
    <tableColumn name="CREDIT SALSE" id="7"/>
    <tableColumn name="BRANCH TRANSFER (SC SALSE)" id="8"/>
    <tableColumn name="STARTING BILL" id="9"/>
    <tableColumn name="ENDING BILL" id="10"/>
    <tableColumn name="BANK DEPOSIT" id="11"/>
    <tableColumn name="OTHER EXPENDITURES" id="12"/>
    <tableColumn name="Walkins" id="13"/>
  </tableColumns>
  <tableStyleInfo name="Entry-style" showColumnStripes="0" showFirstColumn="1" showLastColumn="1" showRowStripes="1"/>
</table>
</file>

<file path=xl/tables/table2.xml><?xml version="1.0" encoding="utf-8"?>
<table xmlns="http://schemas.openxmlformats.org/spreadsheetml/2006/main" ref="A1:M2" displayName="A11_Sri_chaitanya" name="A11_Sri_chaitanya" id="2">
  <tableColumns count="13">
    <tableColumn name="Timestamp" id="1"/>
    <tableColumn name="Date" id="2"/>
    <tableColumn name="Store Name" id="3"/>
    <tableColumn name="DAY SALSE" id="4"/>
    <tableColumn name="UPI SALSE" id="5"/>
    <tableColumn name="EDC SALSE" id="6"/>
    <tableColumn name="CREDIT SALSE" id="7"/>
    <tableColumn name="BRANCH TRANSFER (SC SALSE)" id="8"/>
    <tableColumn name="STARTING BILL" id="9"/>
    <tableColumn name="ENDING BILL" id="10"/>
    <tableColumn name="BANK POSIT" id="11"/>
    <tableColumn name="OTHER EXPENDITURES" id="12"/>
    <tableColumn name="Walkins" id="13"/>
  </tableColumns>
  <tableStyleInfo name="A11 SRI CHAITANYA-style" showColumnStripes="0" showFirstColumn="1" showLastColumn="1" showRowStripes="1"/>
</table>
</file>

<file path=xl/tables/table3.xml><?xml version="1.0" encoding="utf-8"?>
<table xmlns="http://schemas.openxmlformats.org/spreadsheetml/2006/main" ref="A1:M2" displayName="Table1_2" name="Table1_2" id="3">
  <tableColumns count="13">
    <tableColumn name="Timestamp" id="1"/>
    <tableColumn name="Date" id="2"/>
    <tableColumn name="Store Name" id="3"/>
    <tableColumn name="DAY SALSE" id="4"/>
    <tableColumn name="UPI SALSE" id="5"/>
    <tableColumn name="EDC SALSE" id="6"/>
    <tableColumn name="CREDIT SALSE" id="7"/>
    <tableColumn name="BRANCH TRANSFER (SC SALSE)" id="8"/>
    <tableColumn name="STARTING BILL" id="9"/>
    <tableColumn name="ENDING BILL" id="10"/>
    <tableColumn name="BANK POSIT" id="11"/>
    <tableColumn name="OTHER EXPENDITURES" id="12"/>
    <tableColumn name="Walkins" id="13"/>
  </tableColumns>
  <tableStyleInfo name="A12 NGOS COLONY-style" showColumnStripes="0" showFirstColumn="1" showLastColumn="1" showRowStripes="1"/>
</table>
</file>

<file path=xl/tables/table4.xml><?xml version="1.0" encoding="utf-8"?>
<table xmlns="http://schemas.openxmlformats.org/spreadsheetml/2006/main" ref="A1:M2" displayName="Table1_3" name="Table1_3" id="4">
  <tableColumns count="13">
    <tableColumn name="Timestamp" id="1"/>
    <tableColumn name="Date" id="2"/>
    <tableColumn name="Store Name" id="3"/>
    <tableColumn name="DAY SALSE" id="4"/>
    <tableColumn name="UPI SALSE" id="5"/>
    <tableColumn name="EDC SALSE" id="6"/>
    <tableColumn name="CREDIT SALSE" id="7"/>
    <tableColumn name="BRANCH TRANSFER (SC SALSE)" id="8"/>
    <tableColumn name="STARTING BILL" id="9"/>
    <tableColumn name="ENDING BILL" id="10"/>
    <tableColumn name="BANK POSIT" id="11"/>
    <tableColumn name="OTHER EXPENDITURES" id="12"/>
    <tableColumn name="Walkins" id="13"/>
  </tableColumns>
  <tableStyleInfo name="A14 KOMPALLY-style" showColumnStripes="0" showFirstColumn="1" showLastColumn="1" showRowStripes="1"/>
</table>
</file>

<file path=xl/tables/table5.xml><?xml version="1.0" encoding="utf-8"?>
<table xmlns="http://schemas.openxmlformats.org/spreadsheetml/2006/main" ref="A1:M2" displayName="Table1_4" name="Table1_4" id="5">
  <tableColumns count="13">
    <tableColumn name="Timestamp" id="1"/>
    <tableColumn name="Date" id="2"/>
    <tableColumn name="Store Name" id="3"/>
    <tableColumn name="DAY SALSE" id="4"/>
    <tableColumn name="UPI SALSE" id="5"/>
    <tableColumn name="EDC SALSE" id="6"/>
    <tableColumn name="CREDIT SALSE" id="7"/>
    <tableColumn name="BRANCH TRANSFER (SC SALSE)" id="8"/>
    <tableColumn name="STARTING BILL" id="9"/>
    <tableColumn name="ENDING BILL" id="10"/>
    <tableColumn name="BANK POSIT" id="11"/>
    <tableColumn name="OTHER EXPENDITURES" id="12"/>
    <tableColumn name="Walkins" id="13"/>
  </tableColumns>
  <tableStyleInfo name="A15 GANESH TEMPLE-style" showColumnStripes="0" showFirstColumn="1" showLastColumn="1" showRowStripes="1"/>
</table>
</file>

<file path=xl/tables/table6.xml><?xml version="1.0" encoding="utf-8"?>
<table xmlns="http://schemas.openxmlformats.org/spreadsheetml/2006/main" ref="A1:M2" displayName="Table1_5" name="Table1_5" id="6">
  <tableColumns count="13">
    <tableColumn name="Timestamp" id="1"/>
    <tableColumn name="Date" id="2"/>
    <tableColumn name="Store Name" id="3"/>
    <tableColumn name="DAY SALSE" id="4"/>
    <tableColumn name="UPI SALSE" id="5"/>
    <tableColumn name="EDC SALSE" id="6"/>
    <tableColumn name="CREDIT SALSE" id="7"/>
    <tableColumn name="BRANCH TRANSFER (SC SALSE)" id="8"/>
    <tableColumn name="STARTING BILL" id="9"/>
    <tableColumn name="ENDING BILL" id="10"/>
    <tableColumn name="BANK POSIT" id="11"/>
    <tableColumn name="OTHER EXPENDITURES" id="12"/>
    <tableColumn name="Walkins" id="13"/>
  </tableColumns>
  <tableStyleInfo name="A17 RAMANTAPUR-style" showColumnStripes="0" showFirstColumn="1" showLastColumn="1" showRowStripes="1"/>
</table>
</file>

<file path=xl/tables/table7.xml><?xml version="1.0" encoding="utf-8"?>
<table xmlns="http://schemas.openxmlformats.org/spreadsheetml/2006/main" ref="A1:M2" displayName="Table1_6" name="Table1_6" id="7">
  <tableColumns count="13">
    <tableColumn name="Timestamp" id="1"/>
    <tableColumn name="Date" id="2"/>
    <tableColumn name="Store Name" id="3"/>
    <tableColumn name="DAY SALSE" id="4"/>
    <tableColumn name="UPI SALSE" id="5"/>
    <tableColumn name="EDC SALSE" id="6"/>
    <tableColumn name="CREDIT SALSE" id="7"/>
    <tableColumn name="BRANCH TRANSFER (SC SALSE)" id="8"/>
    <tableColumn name="STARTING BILL" id="9"/>
    <tableColumn name="ENDING BILL" id="10"/>
    <tableColumn name="BANK POSIT" id="11"/>
    <tableColumn name="OTHER EXPENDITURES" id="12"/>
    <tableColumn name="walkins" id="13"/>
  </tableColumns>
  <tableStyleInfo name="A18 B N REDDY-style" showColumnStripes="0" showFirstColumn="1" showLastColumn="1" showRowStripes="1"/>
</table>
</file>

<file path=xl/tables/table8.xml><?xml version="1.0" encoding="utf-8"?>
<table xmlns="http://schemas.openxmlformats.org/spreadsheetml/2006/main" ref="A1:M2" displayName="Table1_7" name="Table1_7" id="8">
  <tableColumns count="13">
    <tableColumn name="Timestamp" id="1"/>
    <tableColumn name="Date" id="2"/>
    <tableColumn name="Store Name" id="3"/>
    <tableColumn name="DAY SALSE" id="4"/>
    <tableColumn name="UPI SALSE" id="5"/>
    <tableColumn name="EDC SALSE" id="6"/>
    <tableColumn name="CREDIT SALSE" id="7"/>
    <tableColumn name="BRANCH TRANSFER (SC SALSE)" id="8"/>
    <tableColumn name="STARTING BILL" id="9"/>
    <tableColumn name="ENDING BILL" id="10"/>
    <tableColumn name="BANK POSIT" id="11"/>
    <tableColumn name="OTHER EXPENDITURES" id="12"/>
    <tableColumn name="walkins" id="13"/>
  </tableColumns>
  <tableStyleInfo name="A19 CENTR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3.5"/>
    <col customWidth="1" min="3" max="3" width="11.88"/>
    <col customWidth="1" min="4" max="4" width="12.0"/>
    <col customWidth="1" min="5" max="5" width="14.63"/>
    <col customWidth="1" min="6" max="6" width="13.88"/>
    <col customWidth="1" min="7" max="7" width="13.38"/>
    <col customWidth="1" min="8" max="8" width="10.25"/>
    <col customWidth="1" min="9" max="9" width="16.5"/>
    <col customWidth="1" min="10" max="10" width="14.25"/>
    <col customWidth="1" min="11" max="11" width="13.25"/>
  </cols>
  <sheetData>
    <row r="1">
      <c r="A1" s="1"/>
      <c r="B1" s="2" t="s">
        <v>0</v>
      </c>
      <c r="C1" s="3"/>
      <c r="D1" s="3"/>
      <c r="E1" s="3"/>
      <c r="F1" s="4"/>
      <c r="G1" s="5">
        <v>45678.0</v>
      </c>
      <c r="H1" s="3"/>
      <c r="I1" s="3"/>
      <c r="J1" s="3"/>
      <c r="K1" s="4"/>
    </row>
    <row r="2">
      <c r="A2" s="1" t="s">
        <v>1</v>
      </c>
      <c r="B2" s="6" t="s">
        <v>2</v>
      </c>
      <c r="C2" s="7" t="s">
        <v>3</v>
      </c>
      <c r="D2" s="7" t="s">
        <v>4</v>
      </c>
      <c r="E2" s="6" t="s">
        <v>5</v>
      </c>
      <c r="F2" s="6" t="s">
        <v>6</v>
      </c>
      <c r="G2" s="8" t="s">
        <v>2</v>
      </c>
      <c r="H2" s="9" t="s">
        <v>3</v>
      </c>
      <c r="I2" s="9" t="s">
        <v>4</v>
      </c>
      <c r="J2" s="8" t="s">
        <v>5</v>
      </c>
      <c r="K2" s="8" t="s">
        <v>6</v>
      </c>
    </row>
    <row r="3" ht="24.75" customHeight="1">
      <c r="A3" s="10" t="s">
        <v>7</v>
      </c>
      <c r="B3" s="11">
        <f>sumif(Entry!B2:M518,A3,Entry!C2:C518)</f>
        <v>5671614</v>
      </c>
      <c r="C3" s="11">
        <f>sumif(Entry!B2:M518,A3,Entry!F2:F518)</f>
        <v>609030</v>
      </c>
      <c r="D3" s="11">
        <f>sumif(Entry!B2:M518,A3,Entry!G2:G518)</f>
        <v>0</v>
      </c>
      <c r="E3" s="12">
        <f>sumif(Entry!B2:M518,A3,Entry!L2:L518)</f>
        <v>7669</v>
      </c>
      <c r="F3" s="11">
        <f t="shared" ref="F3:F9" si="1">(B3-C3)/E3</f>
        <v>660.1361325</v>
      </c>
      <c r="G3" s="11">
        <f>sumifs(Entry!D2:D264,Entry!C2:C264,A3,Entry!B2:B264,G1)</f>
        <v>313337</v>
      </c>
      <c r="H3" s="11">
        <f>sumifs(Entry!G2:G264,Entry!C2:C264,A3,Entry!B2:B264,G1)</f>
        <v>26430</v>
      </c>
      <c r="I3" s="11">
        <f>sumifs(Entry!H2:H264,Entry!C2:C264,A3,Entry!B2:B264,G1)</f>
        <v>0</v>
      </c>
      <c r="J3" s="13">
        <f>sumifs(Entry!M2:M264,Entry!C2:C264,A3,Entry!B2:B264,G1)</f>
        <v>387</v>
      </c>
      <c r="K3" s="11">
        <f t="shared" ref="K3:K9" si="2">(G3-H3)/J3</f>
        <v>741.3617571</v>
      </c>
    </row>
    <row r="4" ht="24.75" customHeight="1">
      <c r="A4" s="10" t="s">
        <v>8</v>
      </c>
      <c r="B4" s="11">
        <f>sumif(Entry!B2:L518,A4,Entry!C2:C518)</f>
        <v>2069670</v>
      </c>
      <c r="C4" s="11">
        <f>sumif(Entry!B2:M518,A4,Entry!F2:F518)</f>
        <v>19133</v>
      </c>
      <c r="D4" s="11">
        <f>sumif(Entry!B2:L518,A4,Entry!G2:G518)</f>
        <v>121151</v>
      </c>
      <c r="E4" s="12">
        <f>sumif(Entry!B2:M518,A4,Entry!L2:L518)</f>
        <v>3663</v>
      </c>
      <c r="F4" s="11">
        <f t="shared" si="1"/>
        <v>559.7971608</v>
      </c>
      <c r="G4" s="11">
        <f>sumifs(Entry!D2:D264,Entry!C2:C264,A4,Entry!B2:B264,G1)</f>
        <v>86675</v>
      </c>
      <c r="H4" s="11">
        <f>sumifs(Entry!G2:G264,Entry!C2:C264,A4,Entry!B2:B264,G1)</f>
        <v>0</v>
      </c>
      <c r="I4" s="11">
        <f>sumifs(Entry!H2:H264,Entry!C2:C264,A4,Entry!B2:B264,G1)</f>
        <v>3347</v>
      </c>
      <c r="J4" s="13">
        <f>sumifs(Entry!M2:M264,Entry!C2:C264,A4,Entry!B2:B264,G1)</f>
        <v>185</v>
      </c>
      <c r="K4" s="11">
        <f t="shared" si="2"/>
        <v>468.5135135</v>
      </c>
    </row>
    <row r="5" ht="24.75" customHeight="1">
      <c r="A5" s="10" t="s">
        <v>9</v>
      </c>
      <c r="B5" s="11">
        <f>sumif(Entry!B2:L518,A5,Entry!C2:C518)</f>
        <v>2654166</v>
      </c>
      <c r="C5" s="11">
        <f>sumif(Entry!B2:M518,A5,Entry!F2:F518)</f>
        <v>2597</v>
      </c>
      <c r="D5" s="11">
        <f>sumif(Entry!B2:N518,A5,Entry!G2:G518)</f>
        <v>146</v>
      </c>
      <c r="E5" s="12">
        <f>sumif(Entry!B2:M518,A5,Entry!L2:L518)</f>
        <v>4242</v>
      </c>
      <c r="F5" s="11">
        <f t="shared" si="1"/>
        <v>625.0752004</v>
      </c>
      <c r="G5" s="11">
        <f>sumifs(Entry!D2:D264,Entry!C2:C264,A5,Entry!B2:B264,G1)</f>
        <v>0</v>
      </c>
      <c r="H5" s="11">
        <f>sumifs(Entry!G2:G264,Entry!C2:C264,A5,Entry!B2:B264,G1)</f>
        <v>0</v>
      </c>
      <c r="I5" s="11">
        <f>sumifs(Entry!H2:H264,Entry!C2:C264,A5,Entry!B2:B264,G1)</f>
        <v>0</v>
      </c>
      <c r="J5" s="13">
        <f>sumifs(Entry!M2:M264,Entry!C2:C264,A5,Entry!B2:B264,G1)</f>
        <v>0</v>
      </c>
      <c r="K5" s="11" t="str">
        <f t="shared" si="2"/>
        <v>#DIV/0!</v>
      </c>
    </row>
    <row r="6" ht="24.75" customHeight="1">
      <c r="A6" s="10" t="s">
        <v>10</v>
      </c>
      <c r="B6" s="11">
        <f>sumif(Entry!B2:L518,A6,Entry!C2:C518)</f>
        <v>2628659</v>
      </c>
      <c r="C6" s="11">
        <f>sumif(Entry!B2:M518,A6,Entry!F2:F518)</f>
        <v>31922</v>
      </c>
      <c r="D6" s="11">
        <f>sumif(Entry!B2:N518,A6,Entry!G2:G518)</f>
        <v>91013</v>
      </c>
      <c r="E6" s="12">
        <f>sumif(Entry!B2:M518,A6,Entry!L2:L518)</f>
        <v>5397</v>
      </c>
      <c r="F6" s="11">
        <f t="shared" si="1"/>
        <v>481.1445247</v>
      </c>
      <c r="G6" s="11">
        <f>sumifs(Entry!D2:D264,Entry!C2:C264,A6,Entry!B2:B264,G1)</f>
        <v>100907</v>
      </c>
      <c r="H6" s="11">
        <f>sumifs(Entry!G2:G264,Entry!C2:C264,A6,Entry!B2:B264,G1)</f>
        <v>0</v>
      </c>
      <c r="I6" s="11">
        <f>sumifs(Entry!H2:H264,Entry!C2:C264,A6,Entry!B2:B264,G1)</f>
        <v>11907</v>
      </c>
      <c r="J6" s="13">
        <f>sumifs(Entry!M2:M264,Entry!C2:C264,A6,Entry!B2:B264,G1)</f>
        <v>517</v>
      </c>
      <c r="K6" s="11">
        <f t="shared" si="2"/>
        <v>195.1779497</v>
      </c>
    </row>
    <row r="7" ht="24.75" customHeight="1">
      <c r="A7" s="10" t="s">
        <v>11</v>
      </c>
      <c r="B7" s="11">
        <f>sumif(Entry!B2:L518,A7,Entry!C2:C518)</f>
        <v>1787312</v>
      </c>
      <c r="C7" s="11">
        <f>sumif(Entry!B2:M518,A7,Entry!F2:F518)</f>
        <v>21855</v>
      </c>
      <c r="D7" s="11">
        <f>sumif(Entry!B2:N518,A7,Entry!G2:G518)</f>
        <v>21300</v>
      </c>
      <c r="E7" s="12">
        <f>sumif(Entry!B2:M518,A7,Entry!L2:L518)</f>
        <v>3798</v>
      </c>
      <c r="F7" s="11">
        <f t="shared" si="1"/>
        <v>464.8385993</v>
      </c>
      <c r="G7" s="11">
        <f>sumifs(Entry!D2:D264,Entry!C2:C264,A7,Entry!B2:B264,G1)</f>
        <v>99031</v>
      </c>
      <c r="H7" s="11">
        <f>sumifs(Entry!G2:G264,Entry!C2:C264,A7,Entry!B2:B264,G1)</f>
        <v>0</v>
      </c>
      <c r="I7" s="11">
        <f>sumifs(Entry!H2:H264,Entry!C2:C264,A7,Entry!B2:B264,G1)</f>
        <v>0</v>
      </c>
      <c r="J7" s="13">
        <f>sumifs(Entry!M2:M264,Entry!C2:C264,A7,Entry!B2:B264,G1)</f>
        <v>197</v>
      </c>
      <c r="K7" s="11">
        <f t="shared" si="2"/>
        <v>502.6954315</v>
      </c>
    </row>
    <row r="8" ht="24.75" customHeight="1">
      <c r="A8" s="10" t="s">
        <v>12</v>
      </c>
      <c r="B8" s="11">
        <f>sumif(Entry!B2:L518,A8,Entry!C2:C518)</f>
        <v>1360807</v>
      </c>
      <c r="C8" s="11">
        <f>sumif(Entry!B2:M518,A8,Entry!F2:F518)</f>
        <v>5598</v>
      </c>
      <c r="D8" s="11">
        <f>sumif(Entry!B2:N518,A8,Entry!G2:G518)</f>
        <v>35905</v>
      </c>
      <c r="E8" s="12">
        <f>sumif(Entry!B2:M518,A8,Entry!L2:L518)</f>
        <v>2710</v>
      </c>
      <c r="F8" s="11">
        <f t="shared" si="1"/>
        <v>500.0771218</v>
      </c>
      <c r="G8" s="11">
        <f>sumifs(Entry!D2:D264,Entry!C2:C264,A8,Entry!B2:B264,G1)</f>
        <v>86086</v>
      </c>
      <c r="H8" s="11">
        <f>sumifs(Entry!G2:G264,Entry!C2:C264,A8,Entry!B2:B264,G1)</f>
        <v>0</v>
      </c>
      <c r="I8" s="11">
        <f>sumifs(Entry!H2:H264,Entry!C2:C264,A8,Entry!B2:B264,G1)</f>
        <v>3919</v>
      </c>
      <c r="J8" s="13">
        <f>sumifs(Entry!M2:M264,Entry!C2:C264,A8,Entry!B2:B264,G1)</f>
        <v>147</v>
      </c>
      <c r="K8" s="11">
        <f t="shared" si="2"/>
        <v>585.6190476</v>
      </c>
    </row>
    <row r="9" ht="24.75" customHeight="1">
      <c r="A9" s="10" t="s">
        <v>13</v>
      </c>
      <c r="B9" s="11">
        <f>sumif(Entry!B2:L518,A9,Entry!C2:C518)</f>
        <v>4684492</v>
      </c>
      <c r="C9" s="11">
        <f>sumif(Entry!B2:M518,A9,Entry!F2:F518)</f>
        <v>3090804</v>
      </c>
      <c r="D9" s="11">
        <f>sumif(Entry!B2:N518,A9,Entry!G2:G518)</f>
        <v>6713210</v>
      </c>
      <c r="E9" s="12">
        <f>sumif(Entry!B2:M518,A9,Entry!L2:L518)</f>
        <v>2259</v>
      </c>
      <c r="F9" s="11">
        <f t="shared" si="1"/>
        <v>705.4838424</v>
      </c>
      <c r="G9" s="11">
        <f>sumifs(Entry!D8:D270,Entry!C8:C270,A9,Entry!B8:B270,G1)</f>
        <v>0</v>
      </c>
      <c r="H9" s="11">
        <f>sumifs(Entry!G2:G264,Entry!C2:C264,A9,Entry!B2:B264,G1)</f>
        <v>0</v>
      </c>
      <c r="I9" s="11">
        <f>sumifs(Entry!H2:H264,Entry!C2:C264,A9,Entry!B2:B264,G1)</f>
        <v>0</v>
      </c>
      <c r="J9" s="13">
        <f>sumifs(Entry!M2:M264,Entry!C2:C264,A9,Entry!B2:B264,G1)</f>
        <v>0</v>
      </c>
      <c r="K9" s="11" t="str">
        <f t="shared" si="2"/>
        <v>#DIV/0!</v>
      </c>
    </row>
    <row r="10" ht="31.5" customHeight="1">
      <c r="A10" s="14" t="s">
        <v>14</v>
      </c>
      <c r="B10" s="15">
        <f>sum(B3:B9)</f>
        <v>20856720</v>
      </c>
      <c r="C10" s="3"/>
      <c r="D10" s="14" t="s">
        <v>15</v>
      </c>
      <c r="E10" s="16">
        <f>SUM(E3:E9)</f>
        <v>29738</v>
      </c>
      <c r="F10" s="17"/>
      <c r="G10" s="18" t="s">
        <v>16</v>
      </c>
      <c r="H10" s="3"/>
      <c r="I10" s="19">
        <f>sum(G3:G9)</f>
        <v>686036</v>
      </c>
      <c r="J10" s="20" t="s">
        <v>17</v>
      </c>
      <c r="K10" s="21">
        <f>sum(J3:J9)</f>
        <v>1433</v>
      </c>
    </row>
  </sheetData>
  <autoFilter ref="$A$2:$K$10"/>
  <mergeCells count="4">
    <mergeCell ref="B1:F1"/>
    <mergeCell ref="G1:K1"/>
    <mergeCell ref="B10:C10"/>
    <mergeCell ref="G10:H10"/>
  </mergeCells>
  <conditionalFormatting sqref="A1:A2">
    <cfRule type="colorScale" priority="1">
      <colorScale>
        <cfvo type="min"/>
        <cfvo type="max"/>
        <color rgb="FFFFFFFF"/>
        <color rgb="FF57BB8A"/>
      </colorScale>
    </cfRule>
  </conditionalFormatting>
  <conditionalFormatting sqref="A3:A9">
    <cfRule type="expression" dxfId="0" priority="2">
      <formula>$G3:$G9=0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5"/>
    <col customWidth="1" min="7" max="7" width="16.38"/>
  </cols>
  <sheetData>
    <row r="1">
      <c r="A1" s="99" t="s">
        <v>36</v>
      </c>
      <c r="B1" s="100" t="s">
        <v>19</v>
      </c>
      <c r="C1" s="101" t="s">
        <v>1</v>
      </c>
      <c r="D1" s="101" t="s">
        <v>21</v>
      </c>
      <c r="E1" s="101" t="s">
        <v>22</v>
      </c>
      <c r="F1" s="101" t="s">
        <v>23</v>
      </c>
      <c r="G1" s="101" t="s">
        <v>24</v>
      </c>
      <c r="H1" s="101" t="s">
        <v>25</v>
      </c>
      <c r="I1" s="101" t="s">
        <v>26</v>
      </c>
      <c r="J1" s="101" t="s">
        <v>27</v>
      </c>
      <c r="K1" s="101" t="s">
        <v>37</v>
      </c>
      <c r="L1" s="101" t="s">
        <v>29</v>
      </c>
      <c r="M1" s="103" t="s">
        <v>41</v>
      </c>
      <c r="O1" s="104" t="s">
        <v>38</v>
      </c>
      <c r="P1" s="104" t="s">
        <v>15</v>
      </c>
      <c r="Q1" s="104" t="s">
        <v>6</v>
      </c>
      <c r="R1" s="105"/>
      <c r="S1" s="105"/>
      <c r="T1" s="105"/>
      <c r="U1" s="105"/>
    </row>
    <row r="2">
      <c r="A2" s="106">
        <f>IFERROR(__xludf.DUMMYFUNCTION("filter(All_Stores_Collection_Data,All_Stores_Collection_Data[Store]=""A18 BN REDDY"")"),45659.89415085648)</f>
        <v>45659.89415</v>
      </c>
      <c r="B2" s="107">
        <f>IFERROR(__xludf.DUMMYFUNCTION("""COMPUTED_VALUE"""),45658.0)</f>
        <v>45658</v>
      </c>
      <c r="C2" s="108" t="str">
        <f>IFERROR(__xludf.DUMMYFUNCTION("""COMPUTED_VALUE"""),"A18 BN REDDY")</f>
        <v>A18 BN REDDY</v>
      </c>
      <c r="D2" s="109">
        <f>IFERROR(__xludf.DUMMYFUNCTION("""COMPUTED_VALUE"""),50489.0)</f>
        <v>50489</v>
      </c>
      <c r="E2" s="109">
        <f>IFERROR(__xludf.DUMMYFUNCTION("""COMPUTED_VALUE"""),33729.0)</f>
        <v>33729</v>
      </c>
      <c r="F2" s="109">
        <f>IFERROR(__xludf.DUMMYFUNCTION("""COMPUTED_VALUE"""),7849.0)</f>
        <v>7849</v>
      </c>
      <c r="G2" s="109">
        <f>IFERROR(__xludf.DUMMYFUNCTION("""COMPUTED_VALUE"""),0.0)</f>
        <v>0</v>
      </c>
      <c r="H2" s="109">
        <f>IFERROR(__xludf.DUMMYFUNCTION("""COMPUTED_VALUE"""),0.0)</f>
        <v>0</v>
      </c>
      <c r="I2" s="109">
        <f>IFERROR(__xludf.DUMMYFUNCTION("""COMPUTED_VALUE"""),29613.0)</f>
        <v>29613</v>
      </c>
      <c r="J2" s="109">
        <f>IFERROR(__xludf.DUMMYFUNCTION("""COMPUTED_VALUE"""),29730.0)</f>
        <v>29730</v>
      </c>
      <c r="K2" s="109">
        <f>IFERROR(__xludf.DUMMYFUNCTION("""COMPUTED_VALUE"""),0.0)</f>
        <v>0</v>
      </c>
      <c r="L2" s="109">
        <f>IFERROR(__xludf.DUMMYFUNCTION("""COMPUTED_VALUE"""),90.0)</f>
        <v>90</v>
      </c>
      <c r="M2" s="111">
        <f>IFERROR(__xludf.DUMMYFUNCTION("""COMPUTED_VALUE"""),117.0)</f>
        <v>117</v>
      </c>
      <c r="O2" s="113">
        <f>D32</f>
        <v>1360807</v>
      </c>
      <c r="P2" s="114">
        <f>sum(M1:M31)</f>
        <v>2710</v>
      </c>
      <c r="Q2" s="115">
        <f>(sum(D1:D31)-Sum(G1:G31))/P2</f>
        <v>500.0771218</v>
      </c>
      <c r="R2" s="114"/>
      <c r="S2" s="114"/>
      <c r="T2" s="115"/>
      <c r="U2" s="115"/>
    </row>
    <row r="3">
      <c r="A3" s="116">
        <f>IFERROR(__xludf.DUMMYFUNCTION("""COMPUTED_VALUE"""),45659.94175430556)</f>
        <v>45659.94175</v>
      </c>
      <c r="B3" s="117">
        <f>IFERROR(__xludf.DUMMYFUNCTION("""COMPUTED_VALUE"""),45659.0)</f>
        <v>45659</v>
      </c>
      <c r="C3" s="118" t="str">
        <f>IFERROR(__xludf.DUMMYFUNCTION("""COMPUTED_VALUE"""),"A18 BN REDDY")</f>
        <v>A18 BN REDDY</v>
      </c>
      <c r="D3" s="119">
        <f>IFERROR(__xludf.DUMMYFUNCTION("""COMPUTED_VALUE"""),64209.0)</f>
        <v>64209</v>
      </c>
      <c r="E3" s="119">
        <f>IFERROR(__xludf.DUMMYFUNCTION("""COMPUTED_VALUE"""),33902.0)</f>
        <v>33902</v>
      </c>
      <c r="F3" s="119">
        <f>IFERROR(__xludf.DUMMYFUNCTION("""COMPUTED_VALUE"""),11076.0)</f>
        <v>11076</v>
      </c>
      <c r="G3" s="119">
        <f>IFERROR(__xludf.DUMMYFUNCTION("""COMPUTED_VALUE"""),268.0)</f>
        <v>268</v>
      </c>
      <c r="H3" s="119">
        <f>IFERROR(__xludf.DUMMYFUNCTION("""COMPUTED_VALUE"""),4819.0)</f>
        <v>4819</v>
      </c>
      <c r="I3" s="119">
        <f>IFERROR(__xludf.DUMMYFUNCTION("""COMPUTED_VALUE"""),29731.0)</f>
        <v>29731</v>
      </c>
      <c r="J3" s="119">
        <f>IFERROR(__xludf.DUMMYFUNCTION("""COMPUTED_VALUE"""),29862.0)</f>
        <v>29862</v>
      </c>
      <c r="K3" s="119">
        <f>IFERROR(__xludf.DUMMYFUNCTION("""COMPUTED_VALUE"""),0.0)</f>
        <v>0</v>
      </c>
      <c r="L3" s="119">
        <f>IFERROR(__xludf.DUMMYFUNCTION("""COMPUTED_VALUE"""),1003.0)</f>
        <v>1003</v>
      </c>
      <c r="M3" s="119">
        <f>IFERROR(__xludf.DUMMYFUNCTION("""COMPUTED_VALUE"""),131.0)</f>
        <v>131</v>
      </c>
    </row>
    <row r="4">
      <c r="A4" s="116">
        <f>IFERROR(__xludf.DUMMYFUNCTION("""COMPUTED_VALUE"""),45660.93856769676)</f>
        <v>45660.93857</v>
      </c>
      <c r="B4" s="117">
        <f>IFERROR(__xludf.DUMMYFUNCTION("""COMPUTED_VALUE"""),45660.0)</f>
        <v>45660</v>
      </c>
      <c r="C4" s="118" t="str">
        <f>IFERROR(__xludf.DUMMYFUNCTION("""COMPUTED_VALUE"""),"A18 BN REDDY")</f>
        <v>A18 BN REDDY</v>
      </c>
      <c r="D4" s="119">
        <f>IFERROR(__xludf.DUMMYFUNCTION("""COMPUTED_VALUE"""),90656.0)</f>
        <v>90656</v>
      </c>
      <c r="E4" s="119">
        <f>IFERROR(__xludf.DUMMYFUNCTION("""COMPUTED_VALUE"""),62183.0)</f>
        <v>62183</v>
      </c>
      <c r="F4" s="119">
        <f>IFERROR(__xludf.DUMMYFUNCTION("""COMPUTED_VALUE"""),18077.0)</f>
        <v>18077</v>
      </c>
      <c r="G4" s="119">
        <f>IFERROR(__xludf.DUMMYFUNCTION("""COMPUTED_VALUE"""),0.0)</f>
        <v>0</v>
      </c>
      <c r="H4" s="119">
        <f>IFERROR(__xludf.DUMMYFUNCTION("""COMPUTED_VALUE"""),1578.0)</f>
        <v>1578</v>
      </c>
      <c r="I4" s="119">
        <f>IFERROR(__xludf.DUMMYFUNCTION("""COMPUTED_VALUE"""),29863.0)</f>
        <v>29863</v>
      </c>
      <c r="J4" s="119">
        <f>IFERROR(__xludf.DUMMYFUNCTION("""COMPUTED_VALUE"""),30012.0)</f>
        <v>30012</v>
      </c>
      <c r="K4" s="119">
        <f>IFERROR(__xludf.DUMMYFUNCTION("""COMPUTED_VALUE"""),0.0)</f>
        <v>0</v>
      </c>
      <c r="L4" s="119">
        <f>IFERROR(__xludf.DUMMYFUNCTION("""COMPUTED_VALUE"""),80.0)</f>
        <v>80</v>
      </c>
      <c r="M4" s="119">
        <f>IFERROR(__xludf.DUMMYFUNCTION("""COMPUTED_VALUE"""),149.0)</f>
        <v>149</v>
      </c>
      <c r="O4" s="104" t="s">
        <v>39</v>
      </c>
    </row>
    <row r="5">
      <c r="A5" s="116">
        <f>IFERROR(__xludf.DUMMYFUNCTION("""COMPUTED_VALUE"""),45661.94771259259)</f>
        <v>45661.94771</v>
      </c>
      <c r="B5" s="117">
        <f>IFERROR(__xludf.DUMMYFUNCTION("""COMPUTED_VALUE"""),45661.0)</f>
        <v>45661</v>
      </c>
      <c r="C5" s="118" t="str">
        <f>IFERROR(__xludf.DUMMYFUNCTION("""COMPUTED_VALUE"""),"A18 BN REDDY")</f>
        <v>A18 BN REDDY</v>
      </c>
      <c r="D5" s="119">
        <f>IFERROR(__xludf.DUMMYFUNCTION("""COMPUTED_VALUE"""),77475.0)</f>
        <v>77475</v>
      </c>
      <c r="E5" s="119">
        <f>IFERROR(__xludf.DUMMYFUNCTION("""COMPUTED_VALUE"""),51570.0)</f>
        <v>51570</v>
      </c>
      <c r="F5" s="119">
        <f>IFERROR(__xludf.DUMMYFUNCTION("""COMPUTED_VALUE"""),18565.0)</f>
        <v>18565</v>
      </c>
      <c r="G5" s="119">
        <f>IFERROR(__xludf.DUMMYFUNCTION("""COMPUTED_VALUE"""),0.0)</f>
        <v>0</v>
      </c>
      <c r="H5" s="119">
        <f>IFERROR(__xludf.DUMMYFUNCTION("""COMPUTED_VALUE"""),623.0)</f>
        <v>623</v>
      </c>
      <c r="I5" s="119">
        <f>IFERROR(__xludf.DUMMYFUNCTION("""COMPUTED_VALUE"""),30013.0)</f>
        <v>30013</v>
      </c>
      <c r="J5" s="119">
        <f>IFERROR(__xludf.DUMMYFUNCTION("""COMPUTED_VALUE"""),30137.0)</f>
        <v>30137</v>
      </c>
      <c r="K5" s="118" t="str">
        <f>IFERROR(__xludf.DUMMYFUNCTION("""COMPUTED_VALUE"""),"NO")</f>
        <v>NO</v>
      </c>
      <c r="L5" s="119">
        <f>IFERROR(__xludf.DUMMYFUNCTION("""COMPUTED_VALUE"""),235.0)</f>
        <v>235</v>
      </c>
      <c r="M5" s="119">
        <f>IFERROR(__xludf.DUMMYFUNCTION("""COMPUTED_VALUE"""),124.0)</f>
        <v>124</v>
      </c>
      <c r="O5" s="114">
        <f>SUMIF(A1:M30,Entry!B259,C1:C30)</f>
        <v>0</v>
      </c>
      <c r="P5" s="114" t="str">
        <f>VLOOKUP(Entry!B259,B:M,12,0)</f>
        <v>#REF!</v>
      </c>
      <c r="Q5" s="115" t="str">
        <f>(O5-Vlookup(Entry!B259,B:M,6,0))/P5</f>
        <v>#REF!</v>
      </c>
      <c r="R5" s="105"/>
      <c r="S5" s="105"/>
      <c r="T5" s="105"/>
      <c r="U5" s="105"/>
    </row>
    <row r="6">
      <c r="A6" s="116">
        <f>IFERROR(__xludf.DUMMYFUNCTION("""COMPUTED_VALUE"""),45662.93919871528)</f>
        <v>45662.9392</v>
      </c>
      <c r="B6" s="117">
        <f>IFERROR(__xludf.DUMMYFUNCTION("""COMPUTED_VALUE"""),45662.0)</f>
        <v>45662</v>
      </c>
      <c r="C6" s="118" t="str">
        <f>IFERROR(__xludf.DUMMYFUNCTION("""COMPUTED_VALUE"""),"A18 BN REDDY")</f>
        <v>A18 BN REDDY</v>
      </c>
      <c r="D6" s="119">
        <f>IFERROR(__xludf.DUMMYFUNCTION("""COMPUTED_VALUE"""),63448.0)</f>
        <v>63448</v>
      </c>
      <c r="E6" s="119">
        <f>IFERROR(__xludf.DUMMYFUNCTION("""COMPUTED_VALUE"""),32082.0)</f>
        <v>32082</v>
      </c>
      <c r="F6" s="119">
        <f>IFERROR(__xludf.DUMMYFUNCTION("""COMPUTED_VALUE"""),13208.0)</f>
        <v>13208</v>
      </c>
      <c r="G6" s="119">
        <f>IFERROR(__xludf.DUMMYFUNCTION("""COMPUTED_VALUE"""),0.0)</f>
        <v>0</v>
      </c>
      <c r="H6" s="119">
        <f>IFERROR(__xludf.DUMMYFUNCTION("""COMPUTED_VALUE"""),1520.0)</f>
        <v>1520</v>
      </c>
      <c r="I6" s="119">
        <f>IFERROR(__xludf.DUMMYFUNCTION("""COMPUTED_VALUE"""),30138.0)</f>
        <v>30138</v>
      </c>
      <c r="J6" s="119">
        <f>IFERROR(__xludf.DUMMYFUNCTION("""COMPUTED_VALUE"""),30280.0)</f>
        <v>30280</v>
      </c>
      <c r="K6" s="118" t="str">
        <f>IFERROR(__xludf.DUMMYFUNCTION("""COMPUTED_VALUE"""),"NO")</f>
        <v>NO</v>
      </c>
      <c r="L6" s="119">
        <f>IFERROR(__xludf.DUMMYFUNCTION("""COMPUTED_VALUE"""),164.0)</f>
        <v>164</v>
      </c>
      <c r="M6" s="119">
        <f>IFERROR(__xludf.DUMMYFUNCTION("""COMPUTED_VALUE"""),142.0)</f>
        <v>142</v>
      </c>
      <c r="O6" s="114"/>
      <c r="P6" s="114"/>
      <c r="Q6" s="114"/>
      <c r="R6" s="114"/>
      <c r="S6" s="114"/>
      <c r="T6" s="115"/>
      <c r="U6" s="115"/>
    </row>
    <row r="7">
      <c r="A7" s="116">
        <f>IFERROR(__xludf.DUMMYFUNCTION("""COMPUTED_VALUE"""),45663.94451378472)</f>
        <v>45663.94451</v>
      </c>
      <c r="B7" s="117">
        <f>IFERROR(__xludf.DUMMYFUNCTION("""COMPUTED_VALUE"""),45663.0)</f>
        <v>45663</v>
      </c>
      <c r="C7" s="118" t="str">
        <f>IFERROR(__xludf.DUMMYFUNCTION("""COMPUTED_VALUE"""),"A18 BN REDDY")</f>
        <v>A18 BN REDDY</v>
      </c>
      <c r="D7" s="119">
        <f>IFERROR(__xludf.DUMMYFUNCTION("""COMPUTED_VALUE"""),54665.0)</f>
        <v>54665</v>
      </c>
      <c r="E7" s="119">
        <f>IFERROR(__xludf.DUMMYFUNCTION("""COMPUTED_VALUE"""),27890.0)</f>
        <v>27890</v>
      </c>
      <c r="F7" s="119">
        <f>IFERROR(__xludf.DUMMYFUNCTION("""COMPUTED_VALUE"""),15984.0)</f>
        <v>15984</v>
      </c>
      <c r="G7" s="119">
        <f>IFERROR(__xludf.DUMMYFUNCTION("""COMPUTED_VALUE"""),0.0)</f>
        <v>0</v>
      </c>
      <c r="H7" s="119">
        <f>IFERROR(__xludf.DUMMYFUNCTION("""COMPUTED_VALUE"""),3159.0)</f>
        <v>3159</v>
      </c>
      <c r="I7" s="119">
        <f>IFERROR(__xludf.DUMMYFUNCTION("""COMPUTED_VALUE"""),30281.0)</f>
        <v>30281</v>
      </c>
      <c r="J7" s="119">
        <f>IFERROR(__xludf.DUMMYFUNCTION("""COMPUTED_VALUE"""),30419.0)</f>
        <v>30419</v>
      </c>
      <c r="K7" s="119">
        <f>IFERROR(__xludf.DUMMYFUNCTION("""COMPUTED_VALUE"""),29420.0)</f>
        <v>29420</v>
      </c>
      <c r="L7" s="119">
        <f>IFERROR(__xludf.DUMMYFUNCTION("""COMPUTED_VALUE"""),320.0)</f>
        <v>320</v>
      </c>
      <c r="M7" s="119">
        <f>IFERROR(__xludf.DUMMYFUNCTION("""COMPUTED_VALUE"""),138.0)</f>
        <v>138</v>
      </c>
    </row>
    <row r="8">
      <c r="A8" s="116">
        <f>IFERROR(__xludf.DUMMYFUNCTION("""COMPUTED_VALUE"""),45664.939169317135)</f>
        <v>45664.93917</v>
      </c>
      <c r="B8" s="117">
        <f>IFERROR(__xludf.DUMMYFUNCTION("""COMPUTED_VALUE"""),45664.0)</f>
        <v>45664</v>
      </c>
      <c r="C8" s="118" t="str">
        <f>IFERROR(__xludf.DUMMYFUNCTION("""COMPUTED_VALUE"""),"A18 BN REDDY")</f>
        <v>A18 BN REDDY</v>
      </c>
      <c r="D8" s="119">
        <f>IFERROR(__xludf.DUMMYFUNCTION("""COMPUTED_VALUE"""),73905.0)</f>
        <v>73905</v>
      </c>
      <c r="E8" s="119">
        <f>IFERROR(__xludf.DUMMYFUNCTION("""COMPUTED_VALUE"""),47522.0)</f>
        <v>47522</v>
      </c>
      <c r="F8" s="119">
        <f>IFERROR(__xludf.DUMMYFUNCTION("""COMPUTED_VALUE"""),12925.0)</f>
        <v>12925</v>
      </c>
      <c r="G8" s="119">
        <f>IFERROR(__xludf.DUMMYFUNCTION("""COMPUTED_VALUE"""),0.0)</f>
        <v>0</v>
      </c>
      <c r="H8" s="119">
        <f>IFERROR(__xludf.DUMMYFUNCTION("""COMPUTED_VALUE"""),1144.0)</f>
        <v>1144</v>
      </c>
      <c r="I8" s="119">
        <f>IFERROR(__xludf.DUMMYFUNCTION("""COMPUTED_VALUE"""),30420.0)</f>
        <v>30420</v>
      </c>
      <c r="J8" s="119">
        <f>IFERROR(__xludf.DUMMYFUNCTION("""COMPUTED_VALUE"""),30548.0)</f>
        <v>30548</v>
      </c>
      <c r="K8" s="119">
        <f>IFERROR(__xludf.DUMMYFUNCTION("""COMPUTED_VALUE"""),0.0)</f>
        <v>0</v>
      </c>
      <c r="L8" s="119">
        <f>IFERROR(__xludf.DUMMYFUNCTION("""COMPUTED_VALUE"""),1435.0)</f>
        <v>1435</v>
      </c>
      <c r="M8" s="119">
        <f>IFERROR(__xludf.DUMMYFUNCTION("""COMPUTED_VALUE"""),128.0)</f>
        <v>128</v>
      </c>
    </row>
    <row r="9">
      <c r="A9" s="116">
        <f>IFERROR(__xludf.DUMMYFUNCTION("""COMPUTED_VALUE"""),45665.94989429398)</f>
        <v>45665.94989</v>
      </c>
      <c r="B9" s="117">
        <f>IFERROR(__xludf.DUMMYFUNCTION("""COMPUTED_VALUE"""),45665.0)</f>
        <v>45665</v>
      </c>
      <c r="C9" s="118" t="str">
        <f>IFERROR(__xludf.DUMMYFUNCTION("""COMPUTED_VALUE"""),"A18 BN REDDY")</f>
        <v>A18 BN REDDY</v>
      </c>
      <c r="D9" s="119">
        <f>IFERROR(__xludf.DUMMYFUNCTION("""COMPUTED_VALUE"""),48131.0)</f>
        <v>48131</v>
      </c>
      <c r="E9" s="119">
        <f>IFERROR(__xludf.DUMMYFUNCTION("""COMPUTED_VALUE"""),35029.0)</f>
        <v>35029</v>
      </c>
      <c r="F9" s="119">
        <f>IFERROR(__xludf.DUMMYFUNCTION("""COMPUTED_VALUE"""),3449.0)</f>
        <v>3449</v>
      </c>
      <c r="G9" s="119">
        <f>IFERROR(__xludf.DUMMYFUNCTION("""COMPUTED_VALUE"""),0.0)</f>
        <v>0</v>
      </c>
      <c r="H9" s="119">
        <f>IFERROR(__xludf.DUMMYFUNCTION("""COMPUTED_VALUE"""),1692.0)</f>
        <v>1692</v>
      </c>
      <c r="I9" s="119">
        <f>IFERROR(__xludf.DUMMYFUNCTION("""COMPUTED_VALUE"""),30549.0)</f>
        <v>30549</v>
      </c>
      <c r="J9" s="119">
        <f>IFERROR(__xludf.DUMMYFUNCTION("""COMPUTED_VALUE"""),30670.0)</f>
        <v>30670</v>
      </c>
      <c r="K9" s="119">
        <f>IFERROR(__xludf.DUMMYFUNCTION("""COMPUTED_VALUE"""),0.0)</f>
        <v>0</v>
      </c>
      <c r="L9" s="119">
        <f>IFERROR(__xludf.DUMMYFUNCTION("""COMPUTED_VALUE"""),6638.0)</f>
        <v>6638</v>
      </c>
      <c r="M9" s="119">
        <f>IFERROR(__xludf.DUMMYFUNCTION("""COMPUTED_VALUE"""),121.0)</f>
        <v>121</v>
      </c>
    </row>
    <row r="10">
      <c r="A10" s="116">
        <f>IFERROR(__xludf.DUMMYFUNCTION("""COMPUTED_VALUE"""),45666.94770986111)</f>
        <v>45666.94771</v>
      </c>
      <c r="B10" s="117">
        <f>IFERROR(__xludf.DUMMYFUNCTION("""COMPUTED_VALUE"""),45666.0)</f>
        <v>45666</v>
      </c>
      <c r="C10" s="118" t="str">
        <f>IFERROR(__xludf.DUMMYFUNCTION("""COMPUTED_VALUE"""),"A18 BN REDDY")</f>
        <v>A18 BN REDDY</v>
      </c>
      <c r="D10" s="119">
        <f>IFERROR(__xludf.DUMMYFUNCTION("""COMPUTED_VALUE"""),61827.0)</f>
        <v>61827</v>
      </c>
      <c r="E10" s="119">
        <f>IFERROR(__xludf.DUMMYFUNCTION("""COMPUTED_VALUE"""),28075.0)</f>
        <v>28075</v>
      </c>
      <c r="F10" s="119">
        <f>IFERROR(__xludf.DUMMYFUNCTION("""COMPUTED_VALUE"""),20724.0)</f>
        <v>20724</v>
      </c>
      <c r="G10" s="119">
        <f>IFERROR(__xludf.DUMMYFUNCTION("""COMPUTED_VALUE"""),531.0)</f>
        <v>531</v>
      </c>
      <c r="H10" s="119">
        <f>IFERROR(__xludf.DUMMYFUNCTION("""COMPUTED_VALUE"""),2639.0)</f>
        <v>2639</v>
      </c>
      <c r="I10" s="119">
        <f>IFERROR(__xludf.DUMMYFUNCTION("""COMPUTED_VALUE"""),30671.0)</f>
        <v>30671</v>
      </c>
      <c r="J10" s="119">
        <f>IFERROR(__xludf.DUMMYFUNCTION("""COMPUTED_VALUE"""),30794.0)</f>
        <v>30794</v>
      </c>
      <c r="K10" s="118" t="str">
        <f>IFERROR(__xludf.DUMMYFUNCTION("""COMPUTED_VALUE"""),"NO")</f>
        <v>NO</v>
      </c>
      <c r="L10" s="119">
        <f>IFERROR(__xludf.DUMMYFUNCTION("""COMPUTED_VALUE"""),148.0)</f>
        <v>148</v>
      </c>
      <c r="M10" s="119">
        <f>IFERROR(__xludf.DUMMYFUNCTION("""COMPUTED_VALUE"""),123.0)</f>
        <v>123</v>
      </c>
    </row>
    <row r="11">
      <c r="A11" s="116">
        <f>IFERROR(__xludf.DUMMYFUNCTION("""COMPUTED_VALUE"""),45667.945013449076)</f>
        <v>45667.94501</v>
      </c>
      <c r="B11" s="117">
        <f>IFERROR(__xludf.DUMMYFUNCTION("""COMPUTED_VALUE"""),45667.0)</f>
        <v>45667</v>
      </c>
      <c r="C11" s="118" t="str">
        <f>IFERROR(__xludf.DUMMYFUNCTION("""COMPUTED_VALUE"""),"A18 BN REDDY")</f>
        <v>A18 BN REDDY</v>
      </c>
      <c r="D11" s="119">
        <f>IFERROR(__xludf.DUMMYFUNCTION("""COMPUTED_VALUE"""),54691.0)</f>
        <v>54691</v>
      </c>
      <c r="E11" s="119">
        <f>IFERROR(__xludf.DUMMYFUNCTION("""COMPUTED_VALUE"""),30015.0)</f>
        <v>30015</v>
      </c>
      <c r="F11" s="119">
        <f>IFERROR(__xludf.DUMMYFUNCTION("""COMPUTED_VALUE"""),10457.0)</f>
        <v>10457</v>
      </c>
      <c r="G11" s="119">
        <f>IFERROR(__xludf.DUMMYFUNCTION("""COMPUTED_VALUE"""),1249.0)</f>
        <v>1249</v>
      </c>
      <c r="H11" s="119">
        <f>IFERROR(__xludf.DUMMYFUNCTION("""COMPUTED_VALUE"""),584.0)</f>
        <v>584</v>
      </c>
      <c r="I11" s="119">
        <f>IFERROR(__xludf.DUMMYFUNCTION("""COMPUTED_VALUE"""),30795.0)</f>
        <v>30795</v>
      </c>
      <c r="J11" s="119">
        <f>IFERROR(__xludf.DUMMYFUNCTION("""COMPUTED_VALUE"""),30919.0)</f>
        <v>30919</v>
      </c>
      <c r="K11" s="118" t="str">
        <f>IFERROR(__xludf.DUMMYFUNCTION("""COMPUTED_VALUE"""),"NO")</f>
        <v>NO</v>
      </c>
      <c r="L11" s="119">
        <f>IFERROR(__xludf.DUMMYFUNCTION("""COMPUTED_VALUE"""),80.0)</f>
        <v>80</v>
      </c>
      <c r="M11" s="119">
        <f>IFERROR(__xludf.DUMMYFUNCTION("""COMPUTED_VALUE"""),124.0)</f>
        <v>124</v>
      </c>
    </row>
    <row r="12">
      <c r="A12" s="116">
        <f>IFERROR(__xludf.DUMMYFUNCTION("""COMPUTED_VALUE"""),45668.94215861111)</f>
        <v>45668.94216</v>
      </c>
      <c r="B12" s="117">
        <f>IFERROR(__xludf.DUMMYFUNCTION("""COMPUTED_VALUE"""),45668.0)</f>
        <v>45668</v>
      </c>
      <c r="C12" s="118" t="str">
        <f>IFERROR(__xludf.DUMMYFUNCTION("""COMPUTED_VALUE"""),"A18 BN REDDY")</f>
        <v>A18 BN REDDY</v>
      </c>
      <c r="D12" s="119">
        <f>IFERROR(__xludf.DUMMYFUNCTION("""COMPUTED_VALUE"""),109912.0)</f>
        <v>109912</v>
      </c>
      <c r="E12" s="119">
        <f>IFERROR(__xludf.DUMMYFUNCTION("""COMPUTED_VALUE"""),45713.0)</f>
        <v>45713</v>
      </c>
      <c r="F12" s="119">
        <f>IFERROR(__xludf.DUMMYFUNCTION("""COMPUTED_VALUE"""),12954.0)</f>
        <v>12954</v>
      </c>
      <c r="G12" s="119">
        <f>IFERROR(__xludf.DUMMYFUNCTION("""COMPUTED_VALUE"""),2265.0)</f>
        <v>2265</v>
      </c>
      <c r="H12" s="119">
        <f>IFERROR(__xludf.DUMMYFUNCTION("""COMPUTED_VALUE"""),1592.0)</f>
        <v>1592</v>
      </c>
      <c r="I12" s="119">
        <f>IFERROR(__xludf.DUMMYFUNCTION("""COMPUTED_VALUE"""),30920.0)</f>
        <v>30920</v>
      </c>
      <c r="J12" s="119">
        <f>IFERROR(__xludf.DUMMYFUNCTION("""COMPUTED_VALUE"""),31073.0)</f>
        <v>31073</v>
      </c>
      <c r="K12" s="118" t="str">
        <f>IFERROR(__xludf.DUMMYFUNCTION("""COMPUTED_VALUE"""),"NO")</f>
        <v>NO</v>
      </c>
      <c r="L12" s="119">
        <f>IFERROR(__xludf.DUMMYFUNCTION("""COMPUTED_VALUE"""),119.0)</f>
        <v>119</v>
      </c>
      <c r="M12" s="119">
        <f>IFERROR(__xludf.DUMMYFUNCTION("""COMPUTED_VALUE"""),153.0)</f>
        <v>153</v>
      </c>
    </row>
    <row r="13">
      <c r="A13" s="116">
        <f>IFERROR(__xludf.DUMMYFUNCTION("""COMPUTED_VALUE"""),45669.938854120366)</f>
        <v>45669.93885</v>
      </c>
      <c r="B13" s="117">
        <f>IFERROR(__xludf.DUMMYFUNCTION("""COMPUTED_VALUE"""),45669.0)</f>
        <v>45669</v>
      </c>
      <c r="C13" s="118" t="str">
        <f>IFERROR(__xludf.DUMMYFUNCTION("""COMPUTED_VALUE"""),"A18 BN REDDY")</f>
        <v>A18 BN REDDY</v>
      </c>
      <c r="D13" s="119">
        <f>IFERROR(__xludf.DUMMYFUNCTION("""COMPUTED_VALUE"""),71894.0)</f>
        <v>71894</v>
      </c>
      <c r="E13" s="119">
        <f>IFERROR(__xludf.DUMMYFUNCTION("""COMPUTED_VALUE"""),39544.0)</f>
        <v>39544</v>
      </c>
      <c r="F13" s="119">
        <f>IFERROR(__xludf.DUMMYFUNCTION("""COMPUTED_VALUE"""),12731.0)</f>
        <v>12731</v>
      </c>
      <c r="G13" s="119">
        <f>IFERROR(__xludf.DUMMYFUNCTION("""COMPUTED_VALUE"""),0.0)</f>
        <v>0</v>
      </c>
      <c r="H13" s="119">
        <f>IFERROR(__xludf.DUMMYFUNCTION("""COMPUTED_VALUE"""),1058.0)</f>
        <v>1058</v>
      </c>
      <c r="I13" s="119">
        <f>IFERROR(__xludf.DUMMYFUNCTION("""COMPUTED_VALUE"""),31074.0)</f>
        <v>31074</v>
      </c>
      <c r="J13" s="119">
        <f>IFERROR(__xludf.DUMMYFUNCTION("""COMPUTED_VALUE"""),31229.0)</f>
        <v>31229</v>
      </c>
      <c r="K13" s="119">
        <f>IFERROR(__xludf.DUMMYFUNCTION("""COMPUTED_VALUE"""),0.0)</f>
        <v>0</v>
      </c>
      <c r="L13" s="119">
        <f>IFERROR(__xludf.DUMMYFUNCTION("""COMPUTED_VALUE"""),268.0)</f>
        <v>268</v>
      </c>
      <c r="M13" s="119">
        <f>IFERROR(__xludf.DUMMYFUNCTION("""COMPUTED_VALUE"""),155.0)</f>
        <v>155</v>
      </c>
    </row>
    <row r="14">
      <c r="A14" s="116">
        <f>IFERROR(__xludf.DUMMYFUNCTION("""COMPUTED_VALUE"""),45670.94036717592)</f>
        <v>45670.94037</v>
      </c>
      <c r="B14" s="117">
        <f>IFERROR(__xludf.DUMMYFUNCTION("""COMPUTED_VALUE"""),45670.0)</f>
        <v>45670</v>
      </c>
      <c r="C14" s="118" t="str">
        <f>IFERROR(__xludf.DUMMYFUNCTION("""COMPUTED_VALUE"""),"A18 BN REDDY")</f>
        <v>A18 BN REDDY</v>
      </c>
      <c r="D14" s="119">
        <f>IFERROR(__xludf.DUMMYFUNCTION("""COMPUTED_VALUE"""),58243.0)</f>
        <v>58243</v>
      </c>
      <c r="E14" s="119">
        <f>IFERROR(__xludf.DUMMYFUNCTION("""COMPUTED_VALUE"""),35903.0)</f>
        <v>35903</v>
      </c>
      <c r="F14" s="119">
        <f>IFERROR(__xludf.DUMMYFUNCTION("""COMPUTED_VALUE"""),6328.0)</f>
        <v>6328</v>
      </c>
      <c r="G14" s="118" t="str">
        <f>IFERROR(__xludf.DUMMYFUNCTION("""COMPUTED_VALUE"""),"NO")</f>
        <v>NO</v>
      </c>
      <c r="H14" s="119">
        <f>IFERROR(__xludf.DUMMYFUNCTION("""COMPUTED_VALUE"""),1021.0)</f>
        <v>1021</v>
      </c>
      <c r="I14" s="119">
        <f>IFERROR(__xludf.DUMMYFUNCTION("""COMPUTED_VALUE"""),31230.0)</f>
        <v>31230</v>
      </c>
      <c r="J14" s="119">
        <f>IFERROR(__xludf.DUMMYFUNCTION("""COMPUTED_VALUE"""),31351.0)</f>
        <v>31351</v>
      </c>
      <c r="K14" s="118" t="str">
        <f>IFERROR(__xludf.DUMMYFUNCTION("""COMPUTED_VALUE"""),"66000/-")</f>
        <v>66000/-</v>
      </c>
      <c r="L14" s="119">
        <f>IFERROR(__xludf.DUMMYFUNCTION("""COMPUTED_VALUE"""),88.0)</f>
        <v>88</v>
      </c>
      <c r="M14" s="119">
        <f>IFERROR(__xludf.DUMMYFUNCTION("""COMPUTED_VALUE"""),121.0)</f>
        <v>121</v>
      </c>
    </row>
    <row r="15">
      <c r="A15" s="116">
        <f>IFERROR(__xludf.DUMMYFUNCTION("""COMPUTED_VALUE"""),45671.94098539352)</f>
        <v>45671.94099</v>
      </c>
      <c r="B15" s="117">
        <f>IFERROR(__xludf.DUMMYFUNCTION("""COMPUTED_VALUE"""),45671.0)</f>
        <v>45671</v>
      </c>
      <c r="C15" s="118" t="str">
        <f>IFERROR(__xludf.DUMMYFUNCTION("""COMPUTED_VALUE"""),"A18 BN REDDY")</f>
        <v>A18 BN REDDY</v>
      </c>
      <c r="D15" s="119">
        <f>IFERROR(__xludf.DUMMYFUNCTION("""COMPUTED_VALUE"""),50695.0)</f>
        <v>50695</v>
      </c>
      <c r="E15" s="119">
        <f>IFERROR(__xludf.DUMMYFUNCTION("""COMPUTED_VALUE"""),27780.0)</f>
        <v>27780</v>
      </c>
      <c r="F15" s="119">
        <f>IFERROR(__xludf.DUMMYFUNCTION("""COMPUTED_VALUE"""),5696.0)</f>
        <v>5696</v>
      </c>
      <c r="G15" s="118" t="str">
        <f>IFERROR(__xludf.DUMMYFUNCTION("""COMPUTED_VALUE"""),"NO")</f>
        <v>NO</v>
      </c>
      <c r="H15" s="119">
        <f>IFERROR(__xludf.DUMMYFUNCTION("""COMPUTED_VALUE"""),861.0)</f>
        <v>861</v>
      </c>
      <c r="I15" s="119">
        <f>IFERROR(__xludf.DUMMYFUNCTION("""COMPUTED_VALUE"""),31352.0)</f>
        <v>31352</v>
      </c>
      <c r="J15" s="119">
        <f>IFERROR(__xludf.DUMMYFUNCTION("""COMPUTED_VALUE"""),31458.0)</f>
        <v>31458</v>
      </c>
      <c r="K15" s="118" t="str">
        <f>IFERROR(__xludf.DUMMYFUNCTION("""COMPUTED_VALUE"""),"NO")</f>
        <v>NO</v>
      </c>
      <c r="L15" s="119">
        <f>IFERROR(__xludf.DUMMYFUNCTION("""COMPUTED_VALUE"""),105.0)</f>
        <v>105</v>
      </c>
      <c r="M15" s="119">
        <f>IFERROR(__xludf.DUMMYFUNCTION("""COMPUTED_VALUE"""),106.0)</f>
        <v>106</v>
      </c>
    </row>
    <row r="16">
      <c r="A16" s="116">
        <f>IFERROR(__xludf.DUMMYFUNCTION("""COMPUTED_VALUE"""),45672.939758645836)</f>
        <v>45672.93976</v>
      </c>
      <c r="B16" s="117">
        <f>IFERROR(__xludf.DUMMYFUNCTION("""COMPUTED_VALUE"""),45672.0)</f>
        <v>45672</v>
      </c>
      <c r="C16" s="118" t="str">
        <f>IFERROR(__xludf.DUMMYFUNCTION("""COMPUTED_VALUE"""),"A18 BN REDDY")</f>
        <v>A18 BN REDDY</v>
      </c>
      <c r="D16" s="119">
        <f>IFERROR(__xludf.DUMMYFUNCTION("""COMPUTED_VALUE"""),60925.0)</f>
        <v>60925</v>
      </c>
      <c r="E16" s="119">
        <f>IFERROR(__xludf.DUMMYFUNCTION("""COMPUTED_VALUE"""),47304.0)</f>
        <v>47304</v>
      </c>
      <c r="F16" s="119">
        <f>IFERROR(__xludf.DUMMYFUNCTION("""COMPUTED_VALUE"""),3062.0)</f>
        <v>3062</v>
      </c>
      <c r="G16" s="119">
        <f>IFERROR(__xludf.DUMMYFUNCTION("""COMPUTED_VALUE"""),1285.0)</f>
        <v>1285</v>
      </c>
      <c r="H16" s="119">
        <f>IFERROR(__xludf.DUMMYFUNCTION("""COMPUTED_VALUE"""),1730.0)</f>
        <v>1730</v>
      </c>
      <c r="I16" s="119">
        <f>IFERROR(__xludf.DUMMYFUNCTION("""COMPUTED_VALUE"""),31459.0)</f>
        <v>31459</v>
      </c>
      <c r="J16" s="119">
        <f>IFERROR(__xludf.DUMMYFUNCTION("""COMPUTED_VALUE"""),31578.0)</f>
        <v>31578</v>
      </c>
      <c r="K16" s="119">
        <f>IFERROR(__xludf.DUMMYFUNCTION("""COMPUTED_VALUE"""),34000.0)</f>
        <v>34000</v>
      </c>
      <c r="L16" s="119">
        <f>IFERROR(__xludf.DUMMYFUNCTION("""COMPUTED_VALUE"""),102.0)</f>
        <v>102</v>
      </c>
      <c r="M16" s="119">
        <f>IFERROR(__xludf.DUMMYFUNCTION("""COMPUTED_VALUE"""),119.0)</f>
        <v>119</v>
      </c>
    </row>
    <row r="17">
      <c r="A17" s="116">
        <f>IFERROR(__xludf.DUMMYFUNCTION("""COMPUTED_VALUE"""),45673.93977556713)</f>
        <v>45673.93978</v>
      </c>
      <c r="B17" s="117">
        <f>IFERROR(__xludf.DUMMYFUNCTION("""COMPUTED_VALUE"""),45673.0)</f>
        <v>45673</v>
      </c>
      <c r="C17" s="118" t="str">
        <f>IFERROR(__xludf.DUMMYFUNCTION("""COMPUTED_VALUE"""),"A18 BN REDDY")</f>
        <v>A18 BN REDDY</v>
      </c>
      <c r="D17" s="119">
        <f>IFERROR(__xludf.DUMMYFUNCTION("""COMPUTED_VALUE"""),52140.0)</f>
        <v>52140</v>
      </c>
      <c r="E17" s="119">
        <f>IFERROR(__xludf.DUMMYFUNCTION("""COMPUTED_VALUE"""),18315.0)</f>
        <v>18315</v>
      </c>
      <c r="F17" s="119">
        <f>IFERROR(__xludf.DUMMYFUNCTION("""COMPUTED_VALUE"""),6489.0)</f>
        <v>6489</v>
      </c>
      <c r="G17" s="119">
        <f>IFERROR(__xludf.DUMMYFUNCTION("""COMPUTED_VALUE"""),0.0)</f>
        <v>0</v>
      </c>
      <c r="H17" s="119">
        <f>IFERROR(__xludf.DUMMYFUNCTION("""COMPUTED_VALUE"""),2167.0)</f>
        <v>2167</v>
      </c>
      <c r="I17" s="119">
        <f>IFERROR(__xludf.DUMMYFUNCTION("""COMPUTED_VALUE"""),31579.0)</f>
        <v>31579</v>
      </c>
      <c r="J17" s="119">
        <f>IFERROR(__xludf.DUMMYFUNCTION("""COMPUTED_VALUE"""),31685.0)</f>
        <v>31685</v>
      </c>
      <c r="K17" s="119">
        <f>IFERROR(__xludf.DUMMYFUNCTION("""COMPUTED_VALUE"""),10500.0)</f>
        <v>10500</v>
      </c>
      <c r="L17" s="119">
        <f>IFERROR(__xludf.DUMMYFUNCTION("""COMPUTED_VALUE"""),128.0)</f>
        <v>128</v>
      </c>
      <c r="M17" s="119">
        <f>IFERROR(__xludf.DUMMYFUNCTION("""COMPUTED_VALUE"""),106.0)</f>
        <v>106</v>
      </c>
    </row>
    <row r="18">
      <c r="A18" s="116">
        <f>IFERROR(__xludf.DUMMYFUNCTION("""COMPUTED_VALUE"""),45674.939776168976)</f>
        <v>45674.93978</v>
      </c>
      <c r="B18" s="117">
        <f>IFERROR(__xludf.DUMMYFUNCTION("""COMPUTED_VALUE"""),45674.0)</f>
        <v>45674</v>
      </c>
      <c r="C18" s="118" t="str">
        <f>IFERROR(__xludf.DUMMYFUNCTION("""COMPUTED_VALUE"""),"A18 BN REDDY")</f>
        <v>A18 BN REDDY</v>
      </c>
      <c r="D18" s="119">
        <f>IFERROR(__xludf.DUMMYFUNCTION("""COMPUTED_VALUE"""),54434.0)</f>
        <v>54434</v>
      </c>
      <c r="E18" s="119">
        <f>IFERROR(__xludf.DUMMYFUNCTION("""COMPUTED_VALUE"""),31641.0)</f>
        <v>31641</v>
      </c>
      <c r="F18" s="119">
        <f>IFERROR(__xludf.DUMMYFUNCTION("""COMPUTED_VALUE"""),6142.0)</f>
        <v>6142</v>
      </c>
      <c r="G18" s="119">
        <f>IFERROR(__xludf.DUMMYFUNCTION("""COMPUTED_VALUE"""),0.0)</f>
        <v>0</v>
      </c>
      <c r="H18" s="119">
        <f>IFERROR(__xludf.DUMMYFUNCTION("""COMPUTED_VALUE"""),1241.0)</f>
        <v>1241</v>
      </c>
      <c r="I18" s="119">
        <f>IFERROR(__xludf.DUMMYFUNCTION("""COMPUTED_VALUE"""),31686.0)</f>
        <v>31686</v>
      </c>
      <c r="J18" s="119">
        <f>IFERROR(__xludf.DUMMYFUNCTION("""COMPUTED_VALUE"""),31814.0)</f>
        <v>31814</v>
      </c>
      <c r="K18" s="119">
        <f>IFERROR(__xludf.DUMMYFUNCTION("""COMPUTED_VALUE"""),24500.0)</f>
        <v>24500</v>
      </c>
      <c r="L18" s="119">
        <f>IFERROR(__xludf.DUMMYFUNCTION("""COMPUTED_VALUE"""),1686.0)</f>
        <v>1686</v>
      </c>
      <c r="M18" s="119">
        <f>IFERROR(__xludf.DUMMYFUNCTION("""COMPUTED_VALUE"""),128.0)</f>
        <v>128</v>
      </c>
    </row>
    <row r="19">
      <c r="A19" s="116">
        <f>IFERROR(__xludf.DUMMYFUNCTION("""COMPUTED_VALUE"""),45675.938216574075)</f>
        <v>45675.93822</v>
      </c>
      <c r="B19" s="117">
        <f>IFERROR(__xludf.DUMMYFUNCTION("""COMPUTED_VALUE"""),45675.0)</f>
        <v>45675</v>
      </c>
      <c r="C19" s="118" t="str">
        <f>IFERROR(__xludf.DUMMYFUNCTION("""COMPUTED_VALUE"""),"A18 BN REDDY")</f>
        <v>A18 BN REDDY</v>
      </c>
      <c r="D19" s="119">
        <f>IFERROR(__xludf.DUMMYFUNCTION("""COMPUTED_VALUE"""),60023.0)</f>
        <v>60023</v>
      </c>
      <c r="E19" s="119">
        <f>IFERROR(__xludf.DUMMYFUNCTION("""COMPUTED_VALUE"""),25548.0)</f>
        <v>25548</v>
      </c>
      <c r="F19" s="119">
        <f>IFERROR(__xludf.DUMMYFUNCTION("""COMPUTED_VALUE"""),14059.0)</f>
        <v>14059</v>
      </c>
      <c r="G19" s="119">
        <f>IFERROR(__xludf.DUMMYFUNCTION("""COMPUTED_VALUE"""),0.0)</f>
        <v>0</v>
      </c>
      <c r="H19" s="119">
        <f>IFERROR(__xludf.DUMMYFUNCTION("""COMPUTED_VALUE"""),2055.0)</f>
        <v>2055</v>
      </c>
      <c r="I19" s="119">
        <f>IFERROR(__xludf.DUMMYFUNCTION("""COMPUTED_VALUE"""),31815.0)</f>
        <v>31815</v>
      </c>
      <c r="J19" s="119">
        <f>IFERROR(__xludf.DUMMYFUNCTION("""COMPUTED_VALUE"""),31931.0)</f>
        <v>31931</v>
      </c>
      <c r="K19" s="119">
        <f>IFERROR(__xludf.DUMMYFUNCTION("""COMPUTED_VALUE"""),16000.0)</f>
        <v>16000</v>
      </c>
      <c r="L19" s="119">
        <f>IFERROR(__xludf.DUMMYFUNCTION("""COMPUTED_VALUE"""),3713.0)</f>
        <v>3713</v>
      </c>
      <c r="M19" s="119">
        <f>IFERROR(__xludf.DUMMYFUNCTION("""COMPUTED_VALUE"""),116.0)</f>
        <v>116</v>
      </c>
    </row>
    <row r="20">
      <c r="A20" s="116">
        <f>IFERROR(__xludf.DUMMYFUNCTION("""COMPUTED_VALUE"""),45676.944437349535)</f>
        <v>45676.94444</v>
      </c>
      <c r="B20" s="117">
        <f>IFERROR(__xludf.DUMMYFUNCTION("""COMPUTED_VALUE"""),45676.0)</f>
        <v>45676</v>
      </c>
      <c r="C20" s="118" t="str">
        <f>IFERROR(__xludf.DUMMYFUNCTION("""COMPUTED_VALUE"""),"A18 BN REDDY")</f>
        <v>A18 BN REDDY</v>
      </c>
      <c r="D20" s="119">
        <f>IFERROR(__xludf.DUMMYFUNCTION("""COMPUTED_VALUE"""),55295.0)</f>
        <v>55295</v>
      </c>
      <c r="E20" s="119">
        <f>IFERROR(__xludf.DUMMYFUNCTION("""COMPUTED_VALUE"""),35537.0)</f>
        <v>35537</v>
      </c>
      <c r="F20" s="119">
        <f>IFERROR(__xludf.DUMMYFUNCTION("""COMPUTED_VALUE"""),8273.0)</f>
        <v>8273</v>
      </c>
      <c r="G20" s="119">
        <f>IFERROR(__xludf.DUMMYFUNCTION("""COMPUTED_VALUE"""),0.0)</f>
        <v>0</v>
      </c>
      <c r="H20" s="119">
        <f>IFERROR(__xludf.DUMMYFUNCTION("""COMPUTED_VALUE"""),1547.0)</f>
        <v>1547</v>
      </c>
      <c r="I20" s="119">
        <f>IFERROR(__xludf.DUMMYFUNCTION("""COMPUTED_VALUE"""),31932.0)</f>
        <v>31932</v>
      </c>
      <c r="J20" s="119">
        <f>IFERROR(__xludf.DUMMYFUNCTION("""COMPUTED_VALUE"""),32074.0)</f>
        <v>32074</v>
      </c>
      <c r="K20" s="118" t="str">
        <f>IFERROR(__xludf.DUMMYFUNCTION("""COMPUTED_VALUE"""),"NO")</f>
        <v>NO</v>
      </c>
      <c r="L20" s="119">
        <f>IFERROR(__xludf.DUMMYFUNCTION("""COMPUTED_VALUE"""),608.0)</f>
        <v>608</v>
      </c>
      <c r="M20" s="119">
        <f>IFERROR(__xludf.DUMMYFUNCTION("""COMPUTED_VALUE"""),142.0)</f>
        <v>142</v>
      </c>
    </row>
    <row r="21">
      <c r="A21" s="116">
        <f>IFERROR(__xludf.DUMMYFUNCTION("""COMPUTED_VALUE"""),45677.939405972225)</f>
        <v>45677.93941</v>
      </c>
      <c r="B21" s="117">
        <f>IFERROR(__xludf.DUMMYFUNCTION("""COMPUTED_VALUE"""),45677.0)</f>
        <v>45677</v>
      </c>
      <c r="C21" s="118" t="str">
        <f>IFERROR(__xludf.DUMMYFUNCTION("""COMPUTED_VALUE"""),"A18 BN REDDY")</f>
        <v>A18 BN REDDY</v>
      </c>
      <c r="D21" s="119">
        <f>IFERROR(__xludf.DUMMYFUNCTION("""COMPUTED_VALUE"""),61664.0)</f>
        <v>61664</v>
      </c>
      <c r="E21" s="119">
        <f>IFERROR(__xludf.DUMMYFUNCTION("""COMPUTED_VALUE"""),31390.0)</f>
        <v>31390</v>
      </c>
      <c r="F21" s="119">
        <f>IFERROR(__xludf.DUMMYFUNCTION("""COMPUTED_VALUE"""),15982.0)</f>
        <v>15982</v>
      </c>
      <c r="G21" s="119">
        <f>IFERROR(__xludf.DUMMYFUNCTION("""COMPUTED_VALUE"""),0.0)</f>
        <v>0</v>
      </c>
      <c r="H21" s="119">
        <f>IFERROR(__xludf.DUMMYFUNCTION("""COMPUTED_VALUE"""),956.0)</f>
        <v>956</v>
      </c>
      <c r="I21" s="119">
        <f>IFERROR(__xludf.DUMMYFUNCTION("""COMPUTED_VALUE"""),32075.0)</f>
        <v>32075</v>
      </c>
      <c r="J21" s="119">
        <f>IFERROR(__xludf.DUMMYFUNCTION("""COMPUTED_VALUE"""),32195.0)</f>
        <v>32195</v>
      </c>
      <c r="K21" s="119">
        <f>IFERROR(__xludf.DUMMYFUNCTION("""COMPUTED_VALUE"""),26500.0)</f>
        <v>26500</v>
      </c>
      <c r="L21" s="119">
        <f>IFERROR(__xludf.DUMMYFUNCTION("""COMPUTED_VALUE"""),570.0)</f>
        <v>570</v>
      </c>
      <c r="M21" s="119">
        <f>IFERROR(__xludf.DUMMYFUNCTION("""COMPUTED_VALUE"""),120.0)</f>
        <v>120</v>
      </c>
    </row>
    <row r="22">
      <c r="A22" s="116">
        <f>IFERROR(__xludf.DUMMYFUNCTION("""COMPUTED_VALUE"""),45678.94255146991)</f>
        <v>45678.94255</v>
      </c>
      <c r="B22" s="117">
        <f>IFERROR(__xludf.DUMMYFUNCTION("""COMPUTED_VALUE"""),45678.0)</f>
        <v>45678</v>
      </c>
      <c r="C22" s="118" t="str">
        <f>IFERROR(__xludf.DUMMYFUNCTION("""COMPUTED_VALUE"""),"A18 BN REDDY")</f>
        <v>A18 BN REDDY</v>
      </c>
      <c r="D22" s="119">
        <f>IFERROR(__xludf.DUMMYFUNCTION("""COMPUTED_VALUE"""),86086.0)</f>
        <v>86086</v>
      </c>
      <c r="E22" s="119">
        <f>IFERROR(__xludf.DUMMYFUNCTION("""COMPUTED_VALUE"""),54934.0)</f>
        <v>54934</v>
      </c>
      <c r="F22" s="119">
        <f>IFERROR(__xludf.DUMMYFUNCTION("""COMPUTED_VALUE"""),16200.0)</f>
        <v>16200</v>
      </c>
      <c r="G22" s="118" t="str">
        <f>IFERROR(__xludf.DUMMYFUNCTION("""COMPUTED_VALUE"""),"NO")</f>
        <v>NO</v>
      </c>
      <c r="H22" s="119">
        <f>IFERROR(__xludf.DUMMYFUNCTION("""COMPUTED_VALUE"""),3919.0)</f>
        <v>3919</v>
      </c>
      <c r="I22" s="119">
        <f>IFERROR(__xludf.DUMMYFUNCTION("""COMPUTED_VALUE"""),32196.0)</f>
        <v>32196</v>
      </c>
      <c r="J22" s="119">
        <f>IFERROR(__xludf.DUMMYFUNCTION("""COMPUTED_VALUE"""),32343.0)</f>
        <v>32343</v>
      </c>
      <c r="K22" s="118" t="str">
        <f>IFERROR(__xludf.DUMMYFUNCTION("""COMPUTED_VALUE"""),"16000/-")</f>
        <v>16000/-</v>
      </c>
      <c r="L22" s="119">
        <f>IFERROR(__xludf.DUMMYFUNCTION("""COMPUTED_VALUE"""),154.0)</f>
        <v>154</v>
      </c>
      <c r="M22" s="119">
        <f>IFERROR(__xludf.DUMMYFUNCTION("""COMPUTED_VALUE"""),147.0)</f>
        <v>147</v>
      </c>
    </row>
    <row r="32">
      <c r="A32" s="156" t="s">
        <v>40</v>
      </c>
      <c r="D32" s="157">
        <f t="shared" ref="D32:M32" si="1">sum(D2:D31)</f>
        <v>1360807</v>
      </c>
      <c r="E32" s="157">
        <f t="shared" si="1"/>
        <v>775606</v>
      </c>
      <c r="F32" s="157">
        <f t="shared" si="1"/>
        <v>240230</v>
      </c>
      <c r="G32" s="157">
        <f t="shared" si="1"/>
        <v>5598</v>
      </c>
      <c r="H32" s="157">
        <f t="shared" si="1"/>
        <v>35905</v>
      </c>
      <c r="I32" s="157">
        <f t="shared" si="1"/>
        <v>649392</v>
      </c>
      <c r="J32" s="157">
        <f t="shared" si="1"/>
        <v>652102</v>
      </c>
      <c r="K32" s="157">
        <f t="shared" si="1"/>
        <v>140920</v>
      </c>
      <c r="L32" s="157">
        <f t="shared" si="1"/>
        <v>17734</v>
      </c>
      <c r="M32" s="157">
        <f t="shared" si="1"/>
        <v>2710</v>
      </c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</row>
  </sheetData>
  <mergeCells count="2">
    <mergeCell ref="O4:Q4"/>
    <mergeCell ref="A32:C32"/>
  </mergeCell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5"/>
    <col customWidth="1" min="7" max="7" width="16.38"/>
    <col customWidth="1" min="13" max="13" width="9.75"/>
  </cols>
  <sheetData>
    <row r="1">
      <c r="A1" s="160" t="s">
        <v>36</v>
      </c>
      <c r="B1" s="100" t="s">
        <v>19</v>
      </c>
      <c r="C1" s="101" t="s">
        <v>1</v>
      </c>
      <c r="D1" s="101" t="s">
        <v>21</v>
      </c>
      <c r="E1" s="101" t="s">
        <v>22</v>
      </c>
      <c r="F1" s="101" t="s">
        <v>23</v>
      </c>
      <c r="G1" s="101" t="s">
        <v>24</v>
      </c>
      <c r="H1" s="101" t="s">
        <v>25</v>
      </c>
      <c r="I1" s="101" t="s">
        <v>26</v>
      </c>
      <c r="J1" s="101" t="s">
        <v>27</v>
      </c>
      <c r="K1" s="101" t="s">
        <v>37</v>
      </c>
      <c r="L1" s="101" t="s">
        <v>29</v>
      </c>
      <c r="M1" s="103" t="s">
        <v>41</v>
      </c>
      <c r="O1" s="104" t="s">
        <v>38</v>
      </c>
      <c r="P1" s="104" t="s">
        <v>15</v>
      </c>
      <c r="Q1" s="104" t="s">
        <v>6</v>
      </c>
      <c r="R1" s="105"/>
      <c r="S1" s="105"/>
      <c r="T1" s="105"/>
      <c r="U1" s="105"/>
    </row>
    <row r="2">
      <c r="A2" s="106">
        <f>IFERROR(__xludf.DUMMYFUNCTION("filter(All_Stores_Collection_Data,All_Stores_Collection_Data[Store]=""A19 CENTRAL"")"),45659.87332903935)</f>
        <v>45659.87333</v>
      </c>
      <c r="B2" s="107">
        <f>IFERROR(__xludf.DUMMYFUNCTION("""COMPUTED_VALUE"""),45658.0)</f>
        <v>45658</v>
      </c>
      <c r="C2" s="108" t="str">
        <f>IFERROR(__xludf.DUMMYFUNCTION("""COMPUTED_VALUE"""),"A19 CENTRAL")</f>
        <v>A19 CENTRAL</v>
      </c>
      <c r="D2" s="109">
        <f>IFERROR(__xludf.DUMMYFUNCTION("""COMPUTED_VALUE"""),179484.0)</f>
        <v>179484</v>
      </c>
      <c r="E2" s="109">
        <f>IFERROR(__xludf.DUMMYFUNCTION("""COMPUTED_VALUE"""),36169.0)</f>
        <v>36169</v>
      </c>
      <c r="F2" s="109">
        <f>IFERROR(__xludf.DUMMYFUNCTION("""COMPUTED_VALUE"""),2803.0)</f>
        <v>2803</v>
      </c>
      <c r="G2" s="109">
        <f>IFERROR(__xludf.DUMMYFUNCTION("""COMPUTED_VALUE"""),114410.0)</f>
        <v>114410</v>
      </c>
      <c r="H2" s="109">
        <f>IFERROR(__xludf.DUMMYFUNCTION("""COMPUTED_VALUE"""),301656.0)</f>
        <v>301656</v>
      </c>
      <c r="I2" s="109">
        <f>IFERROR(__xludf.DUMMYFUNCTION("""COMPUTED_VALUE"""),18200.0)</f>
        <v>18200</v>
      </c>
      <c r="J2" s="109">
        <f>IFERROR(__xludf.DUMMYFUNCTION("""COMPUTED_VALUE"""),18307.0)</f>
        <v>18307</v>
      </c>
      <c r="K2" s="109">
        <f>IFERROR(__xludf.DUMMYFUNCTION("""COMPUTED_VALUE"""),0.0)</f>
        <v>0</v>
      </c>
      <c r="L2" s="109">
        <f>IFERROR(__xludf.DUMMYFUNCTION("""COMPUTED_VALUE"""),710.0)</f>
        <v>710</v>
      </c>
      <c r="M2" s="111">
        <f>IFERROR(__xludf.DUMMYFUNCTION("""COMPUTED_VALUE"""),107.0)</f>
        <v>107</v>
      </c>
      <c r="O2" s="113">
        <f>D32</f>
        <v>4684492</v>
      </c>
      <c r="P2" s="114">
        <f>sum(M1:M31)</f>
        <v>2259</v>
      </c>
      <c r="Q2" s="115">
        <f>(sum(D1:D31)-Sum(G1:G31))/P2</f>
        <v>705.4838424</v>
      </c>
      <c r="R2" s="114"/>
      <c r="S2" s="114"/>
      <c r="T2" s="115"/>
      <c r="U2" s="115"/>
    </row>
    <row r="3">
      <c r="A3" s="116">
        <f>IFERROR(__xludf.DUMMYFUNCTION("""COMPUTED_VALUE"""),45660.48903946759)</f>
        <v>45660.48904</v>
      </c>
      <c r="B3" s="117">
        <f>IFERROR(__xludf.DUMMYFUNCTION("""COMPUTED_VALUE"""),45659.0)</f>
        <v>45659</v>
      </c>
      <c r="C3" s="118" t="str">
        <f>IFERROR(__xludf.DUMMYFUNCTION("""COMPUTED_VALUE"""),"A19 CENTRAL")</f>
        <v>A19 CENTRAL</v>
      </c>
      <c r="D3" s="119">
        <f>IFERROR(__xludf.DUMMYFUNCTION("""COMPUTED_VALUE"""),175026.0)</f>
        <v>175026</v>
      </c>
      <c r="E3" s="119">
        <f>IFERROR(__xludf.DUMMYFUNCTION("""COMPUTED_VALUE"""),26483.0)</f>
        <v>26483</v>
      </c>
      <c r="F3" s="119">
        <f>IFERROR(__xludf.DUMMYFUNCTION("""COMPUTED_VALUE"""),16848.0)</f>
        <v>16848</v>
      </c>
      <c r="G3" s="119">
        <f>IFERROR(__xludf.DUMMYFUNCTION("""COMPUTED_VALUE"""),102730.0)</f>
        <v>102730</v>
      </c>
      <c r="H3" s="119">
        <f>IFERROR(__xludf.DUMMYFUNCTION("""COMPUTED_VALUE"""),381108.0)</f>
        <v>381108</v>
      </c>
      <c r="I3" s="119">
        <f>IFERROR(__xludf.DUMMYFUNCTION("""COMPUTED_VALUE"""),18308.0)</f>
        <v>18308</v>
      </c>
      <c r="J3" s="119">
        <f>IFERROR(__xludf.DUMMYFUNCTION("""COMPUTED_VALUE"""),18427.0)</f>
        <v>18427</v>
      </c>
      <c r="K3" s="119">
        <f>IFERROR(__xludf.DUMMYFUNCTION("""COMPUTED_VALUE"""),0.0)</f>
        <v>0</v>
      </c>
      <c r="L3" s="119">
        <f>IFERROR(__xludf.DUMMYFUNCTION("""COMPUTED_VALUE"""),330.0)</f>
        <v>330</v>
      </c>
      <c r="M3" s="119">
        <f>IFERROR(__xludf.DUMMYFUNCTION("""COMPUTED_VALUE"""),119.0)</f>
        <v>119</v>
      </c>
    </row>
    <row r="4">
      <c r="A4" s="116">
        <f>IFERROR(__xludf.DUMMYFUNCTION("""COMPUTED_VALUE"""),45660.97477084491)</f>
        <v>45660.97477</v>
      </c>
      <c r="B4" s="117">
        <f>IFERROR(__xludf.DUMMYFUNCTION("""COMPUTED_VALUE"""),45660.0)</f>
        <v>45660</v>
      </c>
      <c r="C4" s="118" t="str">
        <f>IFERROR(__xludf.DUMMYFUNCTION("""COMPUTED_VALUE"""),"A19 CENTRAL")</f>
        <v>A19 CENTRAL</v>
      </c>
      <c r="D4" s="119">
        <f>IFERROR(__xludf.DUMMYFUNCTION("""COMPUTED_VALUE"""),399784.0)</f>
        <v>399784</v>
      </c>
      <c r="E4" s="119">
        <f>IFERROR(__xludf.DUMMYFUNCTION("""COMPUTED_VALUE"""),53867.0)</f>
        <v>53867</v>
      </c>
      <c r="F4" s="119">
        <f>IFERROR(__xludf.DUMMYFUNCTION("""COMPUTED_VALUE"""),8837.0)</f>
        <v>8837</v>
      </c>
      <c r="G4" s="119">
        <f>IFERROR(__xludf.DUMMYFUNCTION("""COMPUTED_VALUE"""),294809.0)</f>
        <v>294809</v>
      </c>
      <c r="H4" s="119">
        <f>IFERROR(__xludf.DUMMYFUNCTION("""COMPUTED_VALUE"""),488106.0)</f>
        <v>488106</v>
      </c>
      <c r="I4" s="119">
        <f>IFERROR(__xludf.DUMMYFUNCTION("""COMPUTED_VALUE"""),18428.0)</f>
        <v>18428</v>
      </c>
      <c r="J4" s="119">
        <f>IFERROR(__xludf.DUMMYFUNCTION("""COMPUTED_VALUE"""),18565.0)</f>
        <v>18565</v>
      </c>
      <c r="K4" s="118"/>
      <c r="L4" s="118"/>
      <c r="M4" s="119">
        <f>IFERROR(__xludf.DUMMYFUNCTION("""COMPUTED_VALUE"""),137.0)</f>
        <v>137</v>
      </c>
      <c r="O4" s="104" t="s">
        <v>39</v>
      </c>
    </row>
    <row r="5">
      <c r="A5" s="116">
        <f>IFERROR(__xludf.DUMMYFUNCTION("""COMPUTED_VALUE"""),45661.97034457176)</f>
        <v>45661.97034</v>
      </c>
      <c r="B5" s="117">
        <f>IFERROR(__xludf.DUMMYFUNCTION("""COMPUTED_VALUE"""),45661.0)</f>
        <v>45661</v>
      </c>
      <c r="C5" s="118" t="str">
        <f>IFERROR(__xludf.DUMMYFUNCTION("""COMPUTED_VALUE"""),"A19 CENTRAL")</f>
        <v>A19 CENTRAL</v>
      </c>
      <c r="D5" s="119">
        <f>IFERROR(__xludf.DUMMYFUNCTION("""COMPUTED_VALUE"""),300341.0)</f>
        <v>300341</v>
      </c>
      <c r="E5" s="119">
        <f>IFERROR(__xludf.DUMMYFUNCTION("""COMPUTED_VALUE"""),35626.0)</f>
        <v>35626</v>
      </c>
      <c r="F5" s="119">
        <f>IFERROR(__xludf.DUMMYFUNCTION("""COMPUTED_VALUE"""),10505.0)</f>
        <v>10505</v>
      </c>
      <c r="G5" s="119">
        <f>IFERROR(__xludf.DUMMYFUNCTION("""COMPUTED_VALUE"""),216533.0)</f>
        <v>216533</v>
      </c>
      <c r="H5" s="119">
        <f>IFERROR(__xludf.DUMMYFUNCTION("""COMPUTED_VALUE"""),491622.0)</f>
        <v>491622</v>
      </c>
      <c r="I5" s="119">
        <f>IFERROR(__xludf.DUMMYFUNCTION("""COMPUTED_VALUE"""),18566.0)</f>
        <v>18566</v>
      </c>
      <c r="J5" s="119">
        <f>IFERROR(__xludf.DUMMYFUNCTION("""COMPUTED_VALUE"""),18692.0)</f>
        <v>18692</v>
      </c>
      <c r="K5" s="118"/>
      <c r="L5" s="118"/>
      <c r="M5" s="119">
        <f>IFERROR(__xludf.DUMMYFUNCTION("""COMPUTED_VALUE"""),126.0)</f>
        <v>126</v>
      </c>
      <c r="O5" s="114">
        <f>SUMIF(A1:M30,Entry!B259,C1:C30)</f>
        <v>0</v>
      </c>
      <c r="P5" s="114" t="str">
        <f>VLOOKUP(Entry!B259,B:M,12,0)</f>
        <v>#REF!</v>
      </c>
      <c r="Q5" s="115" t="str">
        <f>(O5-Vlookup(Entry!B259,B:M,6,0))/P5</f>
        <v>#REF!</v>
      </c>
      <c r="R5" s="105"/>
      <c r="S5" s="105"/>
      <c r="T5" s="105"/>
      <c r="U5" s="105"/>
    </row>
    <row r="6">
      <c r="A6" s="116">
        <f>IFERROR(__xludf.DUMMYFUNCTION("""COMPUTED_VALUE"""),45663.50714347222)</f>
        <v>45663.50714</v>
      </c>
      <c r="B6" s="117">
        <f>IFERROR(__xludf.DUMMYFUNCTION("""COMPUTED_VALUE"""),45662.0)</f>
        <v>45662</v>
      </c>
      <c r="C6" s="118" t="str">
        <f>IFERROR(__xludf.DUMMYFUNCTION("""COMPUTED_VALUE"""),"A19 CENTRAL")</f>
        <v>A19 CENTRAL</v>
      </c>
      <c r="D6" s="119">
        <f>IFERROR(__xludf.DUMMYFUNCTION("""COMPUTED_VALUE"""),65496.0)</f>
        <v>65496</v>
      </c>
      <c r="E6" s="119">
        <f>IFERROR(__xludf.DUMMYFUNCTION("""COMPUTED_VALUE"""),24645.0)</f>
        <v>24645</v>
      </c>
      <c r="F6" s="119">
        <f>IFERROR(__xludf.DUMMYFUNCTION("""COMPUTED_VALUE"""),4880.0)</f>
        <v>4880</v>
      </c>
      <c r="G6" s="119">
        <f>IFERROR(__xludf.DUMMYFUNCTION("""COMPUTED_VALUE"""),18799.0)</f>
        <v>18799</v>
      </c>
      <c r="H6" s="119">
        <f>IFERROR(__xludf.DUMMYFUNCTION("""COMPUTED_VALUE"""),269205.0)</f>
        <v>269205</v>
      </c>
      <c r="I6" s="119">
        <f>IFERROR(__xludf.DUMMYFUNCTION("""COMPUTED_VALUE"""),18693.0)</f>
        <v>18693</v>
      </c>
      <c r="J6" s="119">
        <f>IFERROR(__xludf.DUMMYFUNCTION("""COMPUTED_VALUE"""),18763.0)</f>
        <v>18763</v>
      </c>
      <c r="K6" s="119">
        <f>IFERROR(__xludf.DUMMYFUNCTION("""COMPUTED_VALUE"""),0.0)</f>
        <v>0</v>
      </c>
      <c r="L6" s="119">
        <f>IFERROR(__xludf.DUMMYFUNCTION("""COMPUTED_VALUE"""),180.0)</f>
        <v>180</v>
      </c>
      <c r="M6" s="119">
        <f>IFERROR(__xludf.DUMMYFUNCTION("""COMPUTED_VALUE"""),70.0)</f>
        <v>70</v>
      </c>
      <c r="O6" s="114"/>
      <c r="P6" s="114"/>
      <c r="Q6" s="114"/>
      <c r="R6" s="114"/>
      <c r="S6" s="114"/>
      <c r="T6" s="115"/>
      <c r="U6" s="115"/>
    </row>
    <row r="7">
      <c r="A7" s="116">
        <f>IFERROR(__xludf.DUMMYFUNCTION("""COMPUTED_VALUE"""),45664.548512002315)</f>
        <v>45664.54851</v>
      </c>
      <c r="B7" s="117">
        <f>IFERROR(__xludf.DUMMYFUNCTION("""COMPUTED_VALUE"""),45663.0)</f>
        <v>45663</v>
      </c>
      <c r="C7" s="118" t="str">
        <f>IFERROR(__xludf.DUMMYFUNCTION("""COMPUTED_VALUE"""),"A19 CENTRAL")</f>
        <v>A19 CENTRAL</v>
      </c>
      <c r="D7" s="119">
        <f>IFERROR(__xludf.DUMMYFUNCTION("""COMPUTED_VALUE"""),441098.0)</f>
        <v>441098</v>
      </c>
      <c r="E7" s="119">
        <f>IFERROR(__xludf.DUMMYFUNCTION("""COMPUTED_VALUE"""),40330.0)</f>
        <v>40330</v>
      </c>
      <c r="F7" s="119">
        <f>IFERROR(__xludf.DUMMYFUNCTION("""COMPUTED_VALUE"""),7602.0)</f>
        <v>7602</v>
      </c>
      <c r="G7" s="119">
        <f>IFERROR(__xludf.DUMMYFUNCTION("""COMPUTED_VALUE"""),352623.0)</f>
        <v>352623</v>
      </c>
      <c r="H7" s="119">
        <f>IFERROR(__xludf.DUMMYFUNCTION("""COMPUTED_VALUE"""),421030.0)</f>
        <v>421030</v>
      </c>
      <c r="I7" s="119">
        <f>IFERROR(__xludf.DUMMYFUNCTION("""COMPUTED_VALUE"""),18764.0)</f>
        <v>18764</v>
      </c>
      <c r="J7" s="119">
        <f>IFERROR(__xludf.DUMMYFUNCTION("""COMPUTED_VALUE"""),18911.0)</f>
        <v>18911</v>
      </c>
      <c r="K7" s="119">
        <f>IFERROR(__xludf.DUMMYFUNCTION("""COMPUTED_VALUE"""),0.0)</f>
        <v>0</v>
      </c>
      <c r="L7" s="119">
        <f>IFERROR(__xludf.DUMMYFUNCTION("""COMPUTED_VALUE"""),350.0)</f>
        <v>350</v>
      </c>
      <c r="M7" s="119">
        <f>IFERROR(__xludf.DUMMYFUNCTION("""COMPUTED_VALUE"""),147.0)</f>
        <v>147</v>
      </c>
    </row>
    <row r="8">
      <c r="A8" s="116">
        <f>IFERROR(__xludf.DUMMYFUNCTION("""COMPUTED_VALUE"""),45665.541136527776)</f>
        <v>45665.54114</v>
      </c>
      <c r="B8" s="117">
        <f>IFERROR(__xludf.DUMMYFUNCTION("""COMPUTED_VALUE"""),45664.0)</f>
        <v>45664</v>
      </c>
      <c r="C8" s="118" t="str">
        <f>IFERROR(__xludf.DUMMYFUNCTION("""COMPUTED_VALUE"""),"A19 CENTRAL")</f>
        <v>A19 CENTRAL</v>
      </c>
      <c r="D8" s="119">
        <f>IFERROR(__xludf.DUMMYFUNCTION("""COMPUTED_VALUE"""),329839.0)</f>
        <v>329839</v>
      </c>
      <c r="E8" s="119">
        <f>IFERROR(__xludf.DUMMYFUNCTION("""COMPUTED_VALUE"""),37414.0)</f>
        <v>37414</v>
      </c>
      <c r="F8" s="119">
        <f>IFERROR(__xludf.DUMMYFUNCTION("""COMPUTED_VALUE"""),7487.0)</f>
        <v>7487</v>
      </c>
      <c r="G8" s="119">
        <f>IFERROR(__xludf.DUMMYFUNCTION("""COMPUTED_VALUE"""),216488.0)</f>
        <v>216488</v>
      </c>
      <c r="H8" s="119">
        <f>IFERROR(__xludf.DUMMYFUNCTION("""COMPUTED_VALUE"""),437968.0)</f>
        <v>437968</v>
      </c>
      <c r="I8" s="119">
        <f>IFERROR(__xludf.DUMMYFUNCTION("""COMPUTED_VALUE"""),18912.0)</f>
        <v>18912</v>
      </c>
      <c r="J8" s="119">
        <f>IFERROR(__xludf.DUMMYFUNCTION("""COMPUTED_VALUE"""),19056.0)</f>
        <v>19056</v>
      </c>
      <c r="K8" s="119">
        <f>IFERROR(__xludf.DUMMYFUNCTION("""COMPUTED_VALUE"""),75000.0)</f>
        <v>75000</v>
      </c>
      <c r="L8" s="119">
        <f>IFERROR(__xludf.DUMMYFUNCTION("""COMPUTED_VALUE"""),330.0)</f>
        <v>330</v>
      </c>
      <c r="M8" s="119">
        <f>IFERROR(__xludf.DUMMYFUNCTION("""COMPUTED_VALUE"""),144.0)</f>
        <v>144</v>
      </c>
    </row>
    <row r="9">
      <c r="A9" s="116">
        <f>IFERROR(__xludf.DUMMYFUNCTION("""COMPUTED_VALUE"""),45668.57418949074)</f>
        <v>45668.57419</v>
      </c>
      <c r="B9" s="161">
        <f>IFERROR(__xludf.DUMMYFUNCTION("""COMPUTED_VALUE"""),45665.0)</f>
        <v>45665</v>
      </c>
      <c r="C9" s="118" t="str">
        <f>IFERROR(__xludf.DUMMYFUNCTION("""COMPUTED_VALUE"""),"A19 CENTRAL")</f>
        <v>A19 CENTRAL</v>
      </c>
      <c r="D9" s="119">
        <f>IFERROR(__xludf.DUMMYFUNCTION("""COMPUTED_VALUE"""),239523.0)</f>
        <v>239523</v>
      </c>
      <c r="E9" s="119">
        <f>IFERROR(__xludf.DUMMYFUNCTION("""COMPUTED_VALUE"""),27109.0)</f>
        <v>27109</v>
      </c>
      <c r="F9" s="119">
        <f>IFERROR(__xludf.DUMMYFUNCTION("""COMPUTED_VALUE"""),32379.0)</f>
        <v>32379</v>
      </c>
      <c r="G9" s="119">
        <f>IFERROR(__xludf.DUMMYFUNCTION("""COMPUTED_VALUE"""),150361.0)</f>
        <v>150361</v>
      </c>
      <c r="H9" s="119">
        <f>IFERROR(__xludf.DUMMYFUNCTION("""COMPUTED_VALUE"""),395032.0)</f>
        <v>395032</v>
      </c>
      <c r="I9" s="119">
        <f>IFERROR(__xludf.DUMMYFUNCTION("""COMPUTED_VALUE"""),19057.0)</f>
        <v>19057</v>
      </c>
      <c r="J9" s="119">
        <f>IFERROR(__xludf.DUMMYFUNCTION("""COMPUTED_VALUE"""),19191.0)</f>
        <v>19191</v>
      </c>
      <c r="K9" s="118"/>
      <c r="L9" s="119">
        <f>IFERROR(__xludf.DUMMYFUNCTION("""COMPUTED_VALUE"""),330.0)</f>
        <v>330</v>
      </c>
      <c r="M9" s="119">
        <f>IFERROR(__xludf.DUMMYFUNCTION("""COMPUTED_VALUE"""),134.0)</f>
        <v>134</v>
      </c>
    </row>
    <row r="10">
      <c r="A10" s="116">
        <f>IFERROR(__xludf.DUMMYFUNCTION("""COMPUTED_VALUE"""),45666.97095484954)</f>
        <v>45666.97095</v>
      </c>
      <c r="B10" s="117">
        <f>IFERROR(__xludf.DUMMYFUNCTION("""COMPUTED_VALUE"""),45666.0)</f>
        <v>45666</v>
      </c>
      <c r="C10" s="118" t="str">
        <f>IFERROR(__xludf.DUMMYFUNCTION("""COMPUTED_VALUE"""),"A19 CENTRAL")</f>
        <v>A19 CENTRAL</v>
      </c>
      <c r="D10" s="119">
        <f>IFERROR(__xludf.DUMMYFUNCTION("""COMPUTED_VALUE"""),200907.0)</f>
        <v>200907</v>
      </c>
      <c r="E10" s="119">
        <f>IFERROR(__xludf.DUMMYFUNCTION("""COMPUTED_VALUE"""),28677.0)</f>
        <v>28677</v>
      </c>
      <c r="F10" s="119">
        <f>IFERROR(__xludf.DUMMYFUNCTION("""COMPUTED_VALUE"""),7921.0)</f>
        <v>7921</v>
      </c>
      <c r="G10" s="119">
        <f>IFERROR(__xludf.DUMMYFUNCTION("""COMPUTED_VALUE"""),122199.0)</f>
        <v>122199</v>
      </c>
      <c r="H10" s="119">
        <f>IFERROR(__xludf.DUMMYFUNCTION("""COMPUTED_VALUE"""),327222.0)</f>
        <v>327222</v>
      </c>
      <c r="I10" s="119">
        <f>IFERROR(__xludf.DUMMYFUNCTION("""COMPUTED_VALUE"""),19192.0)</f>
        <v>19192</v>
      </c>
      <c r="J10" s="119">
        <f>IFERROR(__xludf.DUMMYFUNCTION("""COMPUTED_VALUE"""),19327.0)</f>
        <v>19327</v>
      </c>
      <c r="K10" s="119">
        <f>IFERROR(__xludf.DUMMYFUNCTION("""COMPUTED_VALUE"""),38700.0)</f>
        <v>38700</v>
      </c>
      <c r="L10" s="119">
        <f>IFERROR(__xludf.DUMMYFUNCTION("""COMPUTED_VALUE"""),390.0)</f>
        <v>390</v>
      </c>
      <c r="M10" s="119">
        <f>IFERROR(__xludf.DUMMYFUNCTION("""COMPUTED_VALUE"""),135.0)</f>
        <v>135</v>
      </c>
    </row>
    <row r="11">
      <c r="A11" s="116">
        <f>IFERROR(__xludf.DUMMYFUNCTION("""COMPUTED_VALUE"""),45673.67841090278)</f>
        <v>45673.67841</v>
      </c>
      <c r="B11" s="117">
        <f>IFERROR(__xludf.DUMMYFUNCTION("""COMPUTED_VALUE"""),45667.0)</f>
        <v>45667</v>
      </c>
      <c r="C11" s="118" t="str">
        <f>IFERROR(__xludf.DUMMYFUNCTION("""COMPUTED_VALUE"""),"A19 CENTRAL")</f>
        <v>A19 CENTRAL</v>
      </c>
      <c r="D11" s="119">
        <f>IFERROR(__xludf.DUMMYFUNCTION("""COMPUTED_VALUE"""),325783.0)</f>
        <v>325783</v>
      </c>
      <c r="E11" s="119">
        <f>IFERROR(__xludf.DUMMYFUNCTION("""COMPUTED_VALUE"""),38840.0)</f>
        <v>38840</v>
      </c>
      <c r="F11" s="119">
        <f>IFERROR(__xludf.DUMMYFUNCTION("""COMPUTED_VALUE"""),12285.0)</f>
        <v>12285</v>
      </c>
      <c r="G11" s="119">
        <f>IFERROR(__xludf.DUMMYFUNCTION("""COMPUTED_VALUE"""),226839.0)</f>
        <v>226839</v>
      </c>
      <c r="H11" s="119">
        <f>IFERROR(__xludf.DUMMYFUNCTION("""COMPUTED_VALUE"""),338965.0)</f>
        <v>338965</v>
      </c>
      <c r="I11" s="119">
        <f>IFERROR(__xludf.DUMMYFUNCTION("""COMPUTED_VALUE"""),19328.0)</f>
        <v>19328</v>
      </c>
      <c r="J11" s="119">
        <f>IFERROR(__xludf.DUMMYFUNCTION("""COMPUTED_VALUE"""),19454.0)</f>
        <v>19454</v>
      </c>
      <c r="K11" s="119">
        <f>IFERROR(__xludf.DUMMYFUNCTION("""COMPUTED_VALUE"""),0.0)</f>
        <v>0</v>
      </c>
      <c r="L11" s="119">
        <f>IFERROR(__xludf.DUMMYFUNCTION("""COMPUTED_VALUE"""),60.0)</f>
        <v>60</v>
      </c>
      <c r="M11" s="119">
        <f>IFERROR(__xludf.DUMMYFUNCTION("""COMPUTED_VALUE"""),126.0)</f>
        <v>126</v>
      </c>
    </row>
    <row r="12">
      <c r="A12" s="116">
        <f>IFERROR(__xludf.DUMMYFUNCTION("""COMPUTED_VALUE"""),45668.97528128472)</f>
        <v>45668.97528</v>
      </c>
      <c r="B12" s="117">
        <f>IFERROR(__xludf.DUMMYFUNCTION("""COMPUTED_VALUE"""),45668.0)</f>
        <v>45668</v>
      </c>
      <c r="C12" s="118" t="str">
        <f>IFERROR(__xludf.DUMMYFUNCTION("""COMPUTED_VALUE"""),"A19 CENTRAL")</f>
        <v>A19 CENTRAL</v>
      </c>
      <c r="D12" s="119">
        <f>IFERROR(__xludf.DUMMYFUNCTION("""COMPUTED_VALUE"""),198220.0)</f>
        <v>198220</v>
      </c>
      <c r="E12" s="119">
        <f>IFERROR(__xludf.DUMMYFUNCTION("""COMPUTED_VALUE"""),37572.0)</f>
        <v>37572</v>
      </c>
      <c r="F12" s="119">
        <f>IFERROR(__xludf.DUMMYFUNCTION("""COMPUTED_VALUE"""),5755.0)</f>
        <v>5755</v>
      </c>
      <c r="G12" s="119">
        <f>IFERROR(__xludf.DUMMYFUNCTION("""COMPUTED_VALUE"""),127291.0)</f>
        <v>127291</v>
      </c>
      <c r="H12" s="119">
        <f>IFERROR(__xludf.DUMMYFUNCTION("""COMPUTED_VALUE"""),365547.0)</f>
        <v>365547</v>
      </c>
      <c r="I12" s="119">
        <f>IFERROR(__xludf.DUMMYFUNCTION("""COMPUTED_VALUE"""),19455.0)</f>
        <v>19455</v>
      </c>
      <c r="J12" s="119">
        <f>IFERROR(__xludf.DUMMYFUNCTION("""COMPUTED_VALUE"""),19582.0)</f>
        <v>19582</v>
      </c>
      <c r="K12" s="118"/>
      <c r="L12" s="119">
        <f>IFERROR(__xludf.DUMMYFUNCTION("""COMPUTED_VALUE"""),160.0)</f>
        <v>160</v>
      </c>
      <c r="M12" s="119">
        <f>IFERROR(__xludf.DUMMYFUNCTION("""COMPUTED_VALUE"""),127.0)</f>
        <v>127</v>
      </c>
    </row>
    <row r="13">
      <c r="A13" s="116">
        <f>IFERROR(__xludf.DUMMYFUNCTION("""COMPUTED_VALUE"""),45673.673280717594)</f>
        <v>45673.67328</v>
      </c>
      <c r="B13" s="117">
        <f>IFERROR(__xludf.DUMMYFUNCTION("""COMPUTED_VALUE"""),45669.0)</f>
        <v>45669</v>
      </c>
      <c r="C13" s="118" t="str">
        <f>IFERROR(__xludf.DUMMYFUNCTION("""COMPUTED_VALUE"""),"A19 CENTRAL")</f>
        <v>A19 CENTRAL</v>
      </c>
      <c r="D13" s="119">
        <f>IFERROR(__xludf.DUMMYFUNCTION("""COMPUTED_VALUE"""),218978.0)</f>
        <v>218978</v>
      </c>
      <c r="E13" s="119">
        <f>IFERROR(__xludf.DUMMYFUNCTION("""COMPUTED_VALUE"""),12807.0)</f>
        <v>12807</v>
      </c>
      <c r="F13" s="119">
        <f>IFERROR(__xludf.DUMMYFUNCTION("""COMPUTED_VALUE"""),420.0)</f>
        <v>420</v>
      </c>
      <c r="G13" s="119">
        <f>IFERROR(__xludf.DUMMYFUNCTION("""COMPUTED_VALUE"""),197221.0)</f>
        <v>197221</v>
      </c>
      <c r="H13" s="119">
        <f>IFERROR(__xludf.DUMMYFUNCTION("""COMPUTED_VALUE"""),332626.0)</f>
        <v>332626</v>
      </c>
      <c r="I13" s="119">
        <f>IFERROR(__xludf.DUMMYFUNCTION("""COMPUTED_VALUE"""),19583.0)</f>
        <v>19583</v>
      </c>
      <c r="J13" s="119">
        <f>IFERROR(__xludf.DUMMYFUNCTION("""COMPUTED_VALUE"""),19628.0)</f>
        <v>19628</v>
      </c>
      <c r="K13" s="119">
        <f>IFERROR(__xludf.DUMMYFUNCTION("""COMPUTED_VALUE"""),0.0)</f>
        <v>0</v>
      </c>
      <c r="L13" s="119">
        <f>IFERROR(__xludf.DUMMYFUNCTION("""COMPUTED_VALUE"""),210.0)</f>
        <v>210</v>
      </c>
      <c r="M13" s="119">
        <f>IFERROR(__xludf.DUMMYFUNCTION("""COMPUTED_VALUE"""),45.0)</f>
        <v>45</v>
      </c>
    </row>
    <row r="14">
      <c r="A14" s="116">
        <f>IFERROR(__xludf.DUMMYFUNCTION("""COMPUTED_VALUE"""),45673.671647152776)</f>
        <v>45673.67165</v>
      </c>
      <c r="B14" s="117">
        <f>IFERROR(__xludf.DUMMYFUNCTION("""COMPUTED_VALUE"""),45670.0)</f>
        <v>45670</v>
      </c>
      <c r="C14" s="118" t="str">
        <f>IFERROR(__xludf.DUMMYFUNCTION("""COMPUTED_VALUE"""),"A19 CENTRAL")</f>
        <v>A19 CENTRAL</v>
      </c>
      <c r="D14" s="119">
        <f>IFERROR(__xludf.DUMMYFUNCTION("""COMPUTED_VALUE"""),211023.0)</f>
        <v>211023</v>
      </c>
      <c r="E14" s="119">
        <f>IFERROR(__xludf.DUMMYFUNCTION("""COMPUTED_VALUE"""),25047.0)</f>
        <v>25047</v>
      </c>
      <c r="F14" s="119">
        <f>IFERROR(__xludf.DUMMYFUNCTION("""COMPUTED_VALUE"""),11983.0)</f>
        <v>11983</v>
      </c>
      <c r="G14" s="119">
        <f>IFERROR(__xludf.DUMMYFUNCTION("""COMPUTED_VALUE"""),138792.0)</f>
        <v>138792</v>
      </c>
      <c r="H14" s="119">
        <f>IFERROR(__xludf.DUMMYFUNCTION("""COMPUTED_VALUE"""),361206.0)</f>
        <v>361206</v>
      </c>
      <c r="I14" s="119">
        <f>IFERROR(__xludf.DUMMYFUNCTION("""COMPUTED_VALUE"""),19629.0)</f>
        <v>19629</v>
      </c>
      <c r="J14" s="119">
        <f>IFERROR(__xludf.DUMMYFUNCTION("""COMPUTED_VALUE"""),19759.0)</f>
        <v>19759</v>
      </c>
      <c r="K14" s="119">
        <f>IFERROR(__xludf.DUMMYFUNCTION("""COMPUTED_VALUE"""),0.0)</f>
        <v>0</v>
      </c>
      <c r="L14" s="119">
        <f>IFERROR(__xludf.DUMMYFUNCTION("""COMPUTED_VALUE"""),65.0)</f>
        <v>65</v>
      </c>
      <c r="M14" s="119">
        <f>IFERROR(__xludf.DUMMYFUNCTION("""COMPUTED_VALUE"""),130.0)</f>
        <v>130</v>
      </c>
    </row>
    <row r="15">
      <c r="A15" s="116">
        <f>IFERROR(__xludf.DUMMYFUNCTION("""COMPUTED_VALUE"""),45673.66954645833)</f>
        <v>45673.66955</v>
      </c>
      <c r="B15" s="117">
        <f>IFERROR(__xludf.DUMMYFUNCTION("""COMPUTED_VALUE"""),45671.0)</f>
        <v>45671</v>
      </c>
      <c r="C15" s="118" t="str">
        <f>IFERROR(__xludf.DUMMYFUNCTION("""COMPUTED_VALUE"""),"A19 CENTRAL")</f>
        <v>A19 CENTRAL</v>
      </c>
      <c r="D15" s="119">
        <f>IFERROR(__xludf.DUMMYFUNCTION("""COMPUTED_VALUE"""),42792.0)</f>
        <v>42792</v>
      </c>
      <c r="E15" s="119">
        <f>IFERROR(__xludf.DUMMYFUNCTION("""COMPUTED_VALUE"""),19252.0)</f>
        <v>19252</v>
      </c>
      <c r="F15" s="119">
        <f>IFERROR(__xludf.DUMMYFUNCTION("""COMPUTED_VALUE"""),3357.0)</f>
        <v>3357</v>
      </c>
      <c r="G15" s="119">
        <f>IFERROR(__xludf.DUMMYFUNCTION("""COMPUTED_VALUE"""),0.0)</f>
        <v>0</v>
      </c>
      <c r="H15" s="119">
        <f>IFERROR(__xludf.DUMMYFUNCTION("""COMPUTED_VALUE"""),301539.0)</f>
        <v>301539</v>
      </c>
      <c r="I15" s="119">
        <f>IFERROR(__xludf.DUMMYFUNCTION("""COMPUTED_VALUE"""),19760.0)</f>
        <v>19760</v>
      </c>
      <c r="J15" s="119">
        <f>IFERROR(__xludf.DUMMYFUNCTION("""COMPUTED_VALUE"""),19846.0)</f>
        <v>19846</v>
      </c>
      <c r="K15" s="119">
        <f>IFERROR(__xludf.DUMMYFUNCTION("""COMPUTED_VALUE"""),0.0)</f>
        <v>0</v>
      </c>
      <c r="L15" s="119">
        <f>IFERROR(__xludf.DUMMYFUNCTION("""COMPUTED_VALUE"""),200.0)</f>
        <v>200</v>
      </c>
      <c r="M15" s="119">
        <f>IFERROR(__xludf.DUMMYFUNCTION("""COMPUTED_VALUE"""),86.0)</f>
        <v>86</v>
      </c>
    </row>
    <row r="16">
      <c r="A16" s="116">
        <f>IFERROR(__xludf.DUMMYFUNCTION("""COMPUTED_VALUE"""),45673.66591814815)</f>
        <v>45673.66592</v>
      </c>
      <c r="B16" s="117">
        <f>IFERROR(__xludf.DUMMYFUNCTION("""COMPUTED_VALUE"""),45672.0)</f>
        <v>45672</v>
      </c>
      <c r="C16" s="118" t="str">
        <f>IFERROR(__xludf.DUMMYFUNCTION("""COMPUTED_VALUE"""),"A19 CENTRAL")</f>
        <v>A19 CENTRAL</v>
      </c>
      <c r="D16" s="119">
        <f>IFERROR(__xludf.DUMMYFUNCTION("""COMPUTED_VALUE"""),293157.0)</f>
        <v>293157</v>
      </c>
      <c r="E16" s="119">
        <f>IFERROR(__xludf.DUMMYFUNCTION("""COMPUTED_VALUE"""),34769.0)</f>
        <v>34769</v>
      </c>
      <c r="F16" s="119">
        <f>IFERROR(__xludf.DUMMYFUNCTION("""COMPUTED_VALUE"""),8471.0)</f>
        <v>8471</v>
      </c>
      <c r="G16" s="119">
        <f>IFERROR(__xludf.DUMMYFUNCTION("""COMPUTED_VALUE"""),201818.0)</f>
        <v>201818</v>
      </c>
      <c r="H16" s="119">
        <f>IFERROR(__xludf.DUMMYFUNCTION("""COMPUTED_VALUE"""),214919.0)</f>
        <v>214919</v>
      </c>
      <c r="I16" s="119">
        <f>IFERROR(__xludf.DUMMYFUNCTION("""COMPUTED_VALUE"""),19847.0)</f>
        <v>19847</v>
      </c>
      <c r="J16" s="119">
        <f>IFERROR(__xludf.DUMMYFUNCTION("""COMPUTED_VALUE"""),19980.0)</f>
        <v>19980</v>
      </c>
      <c r="K16" s="118"/>
      <c r="L16" s="119">
        <f>IFERROR(__xludf.DUMMYFUNCTION("""COMPUTED_VALUE"""),215.0)</f>
        <v>215</v>
      </c>
      <c r="M16" s="119">
        <f>IFERROR(__xludf.DUMMYFUNCTION("""COMPUTED_VALUE"""),133.0)</f>
        <v>133</v>
      </c>
    </row>
    <row r="17">
      <c r="A17" s="116">
        <f>IFERROR(__xludf.DUMMYFUNCTION("""COMPUTED_VALUE"""),45673.96045640046)</f>
        <v>45673.96046</v>
      </c>
      <c r="B17" s="117">
        <f>IFERROR(__xludf.DUMMYFUNCTION("""COMPUTED_VALUE"""),45673.0)</f>
        <v>45673</v>
      </c>
      <c r="C17" s="118" t="str">
        <f>IFERROR(__xludf.DUMMYFUNCTION("""COMPUTED_VALUE"""),"A19 CENTRAL")</f>
        <v>A19 CENTRAL</v>
      </c>
      <c r="D17" s="119">
        <f>IFERROR(__xludf.DUMMYFUNCTION("""COMPUTED_VALUE"""),172043.0)</f>
        <v>172043</v>
      </c>
      <c r="E17" s="119">
        <f>IFERROR(__xludf.DUMMYFUNCTION("""COMPUTED_VALUE"""),41838.0)</f>
        <v>41838</v>
      </c>
      <c r="F17" s="119">
        <f>IFERROR(__xludf.DUMMYFUNCTION("""COMPUTED_VALUE"""),2025.0)</f>
        <v>2025</v>
      </c>
      <c r="G17" s="119">
        <f>IFERROR(__xludf.DUMMYFUNCTION("""COMPUTED_VALUE"""),10551.0)</f>
        <v>10551</v>
      </c>
      <c r="H17" s="119">
        <f>IFERROR(__xludf.DUMMYFUNCTION("""COMPUTED_VALUE"""),312975.0)</f>
        <v>312975</v>
      </c>
      <c r="I17" s="119">
        <f>IFERROR(__xludf.DUMMYFUNCTION("""COMPUTED_VALUE"""),19982.0)</f>
        <v>19982</v>
      </c>
      <c r="J17" s="119">
        <f>IFERROR(__xludf.DUMMYFUNCTION("""COMPUTED_VALUE"""),20084.0)</f>
        <v>20084</v>
      </c>
      <c r="K17" s="119">
        <f>IFERROR(__xludf.DUMMYFUNCTION("""COMPUTED_VALUE"""),70200.0)</f>
        <v>70200</v>
      </c>
      <c r="L17" s="119">
        <f>IFERROR(__xludf.DUMMYFUNCTION("""COMPUTED_VALUE"""),305.0)</f>
        <v>305</v>
      </c>
      <c r="M17" s="119">
        <f>IFERROR(__xludf.DUMMYFUNCTION("""COMPUTED_VALUE"""),102.0)</f>
        <v>102</v>
      </c>
    </row>
    <row r="18">
      <c r="A18" s="116">
        <f>IFERROR(__xludf.DUMMYFUNCTION("""COMPUTED_VALUE"""),45674.957919884255)</f>
        <v>45674.95792</v>
      </c>
      <c r="B18" s="117">
        <f>IFERROR(__xludf.DUMMYFUNCTION("""COMPUTED_VALUE"""),45674.0)</f>
        <v>45674</v>
      </c>
      <c r="C18" s="118" t="str">
        <f>IFERROR(__xludf.DUMMYFUNCTION("""COMPUTED_VALUE"""),"A19 CENTRAL")</f>
        <v>A19 CENTRAL</v>
      </c>
      <c r="D18" s="119">
        <f>IFERROR(__xludf.DUMMYFUNCTION("""COMPUTED_VALUE"""),281066.0)</f>
        <v>281066</v>
      </c>
      <c r="E18" s="119">
        <f>IFERROR(__xludf.DUMMYFUNCTION("""COMPUTED_VALUE"""),43147.0)</f>
        <v>43147</v>
      </c>
      <c r="F18" s="119">
        <f>IFERROR(__xludf.DUMMYFUNCTION("""COMPUTED_VALUE"""),3582.0)</f>
        <v>3582</v>
      </c>
      <c r="G18" s="119">
        <f>IFERROR(__xludf.DUMMYFUNCTION("""COMPUTED_VALUE"""),175441.0)</f>
        <v>175441</v>
      </c>
      <c r="H18" s="119">
        <f>IFERROR(__xludf.DUMMYFUNCTION("""COMPUTED_VALUE"""),365124.0)</f>
        <v>365124</v>
      </c>
      <c r="I18" s="119">
        <f>IFERROR(__xludf.DUMMYFUNCTION("""COMPUTED_VALUE"""),20085.0)</f>
        <v>20085</v>
      </c>
      <c r="J18" s="119">
        <f>IFERROR(__xludf.DUMMYFUNCTION("""COMPUTED_VALUE"""),20205.0)</f>
        <v>20205</v>
      </c>
      <c r="K18" s="119">
        <f>IFERROR(__xludf.DUMMYFUNCTION("""COMPUTED_VALUE"""),0.0)</f>
        <v>0</v>
      </c>
      <c r="L18" s="119">
        <f>IFERROR(__xludf.DUMMYFUNCTION("""COMPUTED_VALUE"""),302.0)</f>
        <v>302</v>
      </c>
      <c r="M18" s="119">
        <f>IFERROR(__xludf.DUMMYFUNCTION("""COMPUTED_VALUE"""),120.0)</f>
        <v>120</v>
      </c>
    </row>
    <row r="19">
      <c r="A19" s="116">
        <f>IFERROR(__xludf.DUMMYFUNCTION("""COMPUTED_VALUE"""),45675.96292186342)</f>
        <v>45675.96292</v>
      </c>
      <c r="B19" s="117">
        <f>IFERROR(__xludf.DUMMYFUNCTION("""COMPUTED_VALUE"""),45675.0)</f>
        <v>45675</v>
      </c>
      <c r="C19" s="118" t="str">
        <f>IFERROR(__xludf.DUMMYFUNCTION("""COMPUTED_VALUE"""),"A19 CENTRAL")</f>
        <v>A19 CENTRAL</v>
      </c>
      <c r="D19" s="119">
        <f>IFERROR(__xludf.DUMMYFUNCTION("""COMPUTED_VALUE"""),219438.0)</f>
        <v>219438</v>
      </c>
      <c r="E19" s="119">
        <f>IFERROR(__xludf.DUMMYFUNCTION("""COMPUTED_VALUE"""),38030.0)</f>
        <v>38030</v>
      </c>
      <c r="F19" s="119">
        <f>IFERROR(__xludf.DUMMYFUNCTION("""COMPUTED_VALUE"""),21287.0)</f>
        <v>21287</v>
      </c>
      <c r="G19" s="119">
        <f>IFERROR(__xludf.DUMMYFUNCTION("""COMPUTED_VALUE"""),118511.0)</f>
        <v>118511</v>
      </c>
      <c r="H19" s="119">
        <f>IFERROR(__xludf.DUMMYFUNCTION("""COMPUTED_VALUE"""),304792.0)</f>
        <v>304792</v>
      </c>
      <c r="I19" s="119">
        <f>IFERROR(__xludf.DUMMYFUNCTION("""COMPUTED_VALUE"""),20206.0)</f>
        <v>20206</v>
      </c>
      <c r="J19" s="119">
        <f>IFERROR(__xludf.DUMMYFUNCTION("""COMPUTED_VALUE"""),20336.0)</f>
        <v>20336</v>
      </c>
      <c r="K19" s="119">
        <f>IFERROR(__xludf.DUMMYFUNCTION("""COMPUTED_VALUE"""),0.0)</f>
        <v>0</v>
      </c>
      <c r="L19" s="119">
        <f>IFERROR(__xludf.DUMMYFUNCTION("""COMPUTED_VALUE"""),695.0)</f>
        <v>695</v>
      </c>
      <c r="M19" s="119">
        <f>IFERROR(__xludf.DUMMYFUNCTION("""COMPUTED_VALUE"""),130.0)</f>
        <v>130</v>
      </c>
    </row>
    <row r="20">
      <c r="A20" s="116">
        <f>IFERROR(__xludf.DUMMYFUNCTION("""COMPUTED_VALUE"""),45677.97668626157)</f>
        <v>45677.97669</v>
      </c>
      <c r="B20" s="117">
        <f>IFERROR(__xludf.DUMMYFUNCTION("""COMPUTED_VALUE"""),45677.0)</f>
        <v>45677</v>
      </c>
      <c r="C20" s="118" t="str">
        <f>IFERROR(__xludf.DUMMYFUNCTION("""COMPUTED_VALUE"""),"A19 CENTRAL")</f>
        <v>A19 CENTRAL</v>
      </c>
      <c r="D20" s="119">
        <f>IFERROR(__xludf.DUMMYFUNCTION("""COMPUTED_VALUE"""),390494.0)</f>
        <v>390494</v>
      </c>
      <c r="E20" s="119">
        <f>IFERROR(__xludf.DUMMYFUNCTION("""COMPUTED_VALUE"""),31842.0)</f>
        <v>31842</v>
      </c>
      <c r="F20" s="119">
        <f>IFERROR(__xludf.DUMMYFUNCTION("""COMPUTED_VALUE"""),10175.0)</f>
        <v>10175</v>
      </c>
      <c r="G20" s="119">
        <f>IFERROR(__xludf.DUMMYFUNCTION("""COMPUTED_VALUE"""),305388.0)</f>
        <v>305388</v>
      </c>
      <c r="H20" s="119">
        <f>IFERROR(__xludf.DUMMYFUNCTION("""COMPUTED_VALUE"""),302568.0)</f>
        <v>302568</v>
      </c>
      <c r="I20" s="119">
        <f>IFERROR(__xludf.DUMMYFUNCTION("""COMPUTED_VALUE"""),20385.0)</f>
        <v>20385</v>
      </c>
      <c r="J20" s="119">
        <f>IFERROR(__xludf.DUMMYFUNCTION("""COMPUTED_VALUE"""),20526.0)</f>
        <v>20526</v>
      </c>
      <c r="K20" s="119">
        <f>IFERROR(__xludf.DUMMYFUNCTION("""COMPUTED_VALUE"""),130400.0)</f>
        <v>130400</v>
      </c>
      <c r="L20" s="119">
        <f>IFERROR(__xludf.DUMMYFUNCTION("""COMPUTED_VALUE"""),140.0)</f>
        <v>140</v>
      </c>
      <c r="M20" s="119">
        <f>IFERROR(__xludf.DUMMYFUNCTION("""COMPUTED_VALUE"""),141.0)</f>
        <v>141</v>
      </c>
    </row>
    <row r="32">
      <c r="A32" s="156" t="s">
        <v>40</v>
      </c>
      <c r="D32" s="157">
        <f t="shared" ref="D32:M32" si="1">sum(D2:D31)</f>
        <v>4684492</v>
      </c>
      <c r="E32" s="157">
        <f t="shared" si="1"/>
        <v>633464</v>
      </c>
      <c r="F32" s="157">
        <f t="shared" si="1"/>
        <v>178602</v>
      </c>
      <c r="G32" s="157">
        <f t="shared" si="1"/>
        <v>3090804</v>
      </c>
      <c r="H32" s="157">
        <f t="shared" si="1"/>
        <v>6713210</v>
      </c>
      <c r="I32" s="157">
        <f t="shared" si="1"/>
        <v>366380</v>
      </c>
      <c r="J32" s="157">
        <f t="shared" si="1"/>
        <v>368639</v>
      </c>
      <c r="K32" s="157">
        <f t="shared" si="1"/>
        <v>314300</v>
      </c>
      <c r="L32" s="157">
        <f t="shared" si="1"/>
        <v>4972</v>
      </c>
      <c r="M32" s="157">
        <f t="shared" si="1"/>
        <v>2259</v>
      </c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</row>
  </sheetData>
  <mergeCells count="2">
    <mergeCell ref="O4:Q4"/>
    <mergeCell ref="A32:C32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7.88"/>
  </cols>
  <sheetData>
    <row r="1" ht="47.25" customHeight="1">
      <c r="A1" s="22" t="s">
        <v>18</v>
      </c>
      <c r="B1" s="23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5" t="s">
        <v>25</v>
      </c>
      <c r="I1" s="24" t="s">
        <v>26</v>
      </c>
      <c r="J1" s="24" t="s">
        <v>27</v>
      </c>
      <c r="K1" s="26" t="s">
        <v>28</v>
      </c>
      <c r="L1" s="24" t="s">
        <v>29</v>
      </c>
      <c r="M1" s="27" t="s">
        <v>30</v>
      </c>
    </row>
    <row r="2">
      <c r="A2" s="28">
        <v>45659.87332903935</v>
      </c>
      <c r="B2" s="29">
        <v>45658.0</v>
      </c>
      <c r="C2" s="30" t="s">
        <v>13</v>
      </c>
      <c r="D2" s="31">
        <v>179484.0</v>
      </c>
      <c r="E2" s="31">
        <v>36169.0</v>
      </c>
      <c r="F2" s="31">
        <v>2803.0</v>
      </c>
      <c r="G2" s="31">
        <v>114410.0</v>
      </c>
      <c r="H2" s="31">
        <v>301656.0</v>
      </c>
      <c r="I2" s="31">
        <v>18200.0</v>
      </c>
      <c r="J2" s="31">
        <v>18307.0</v>
      </c>
      <c r="K2" s="31">
        <v>0.0</v>
      </c>
      <c r="L2" s="31">
        <v>710.0</v>
      </c>
      <c r="M2" s="32">
        <f t="shared" ref="M2:M145" si="1">J2-I2</f>
        <v>107</v>
      </c>
    </row>
    <row r="3">
      <c r="A3" s="33">
        <v>45659.87523038195</v>
      </c>
      <c r="B3" s="34">
        <v>45658.0</v>
      </c>
      <c r="C3" s="35" t="s">
        <v>11</v>
      </c>
      <c r="D3" s="36">
        <v>75506.0</v>
      </c>
      <c r="E3" s="36">
        <v>36344.0</v>
      </c>
      <c r="F3" s="36">
        <v>13726.0</v>
      </c>
      <c r="G3" s="36">
        <v>0.0</v>
      </c>
      <c r="H3" s="36">
        <v>0.0</v>
      </c>
      <c r="I3" s="36">
        <v>48776.0</v>
      </c>
      <c r="J3" s="36">
        <v>48936.0</v>
      </c>
      <c r="K3" s="36">
        <v>40500.0</v>
      </c>
      <c r="L3" s="36">
        <v>270.0</v>
      </c>
      <c r="M3" s="37">
        <f t="shared" si="1"/>
        <v>160</v>
      </c>
    </row>
    <row r="4">
      <c r="A4" s="28">
        <v>45659.88415834491</v>
      </c>
      <c r="B4" s="29">
        <v>45658.0</v>
      </c>
      <c r="C4" s="30" t="s">
        <v>10</v>
      </c>
      <c r="D4" s="31">
        <v>98829.0</v>
      </c>
      <c r="E4" s="31">
        <v>31436.0</v>
      </c>
      <c r="F4" s="31">
        <v>41407.0</v>
      </c>
      <c r="G4" s="31">
        <v>0.0</v>
      </c>
      <c r="H4" s="31">
        <v>2472.0</v>
      </c>
      <c r="I4" s="31">
        <v>57945.0</v>
      </c>
      <c r="J4" s="31">
        <v>58150.0</v>
      </c>
      <c r="K4" s="31">
        <v>35000.0</v>
      </c>
      <c r="L4" s="31">
        <v>200.0</v>
      </c>
      <c r="M4" s="32">
        <f t="shared" si="1"/>
        <v>205</v>
      </c>
    </row>
    <row r="5">
      <c r="A5" s="33">
        <v>45659.88753487269</v>
      </c>
      <c r="B5" s="34">
        <v>45658.0</v>
      </c>
      <c r="C5" s="35" t="s">
        <v>8</v>
      </c>
      <c r="D5" s="36">
        <v>82515.0</v>
      </c>
      <c r="E5" s="36">
        <v>45859.0</v>
      </c>
      <c r="F5" s="36">
        <v>15403.0</v>
      </c>
      <c r="G5" s="36">
        <v>0.0</v>
      </c>
      <c r="H5" s="36">
        <v>3995.0</v>
      </c>
      <c r="I5" s="36">
        <v>44934.0</v>
      </c>
      <c r="J5" s="36">
        <v>45071.0</v>
      </c>
      <c r="K5" s="36">
        <v>0.0</v>
      </c>
      <c r="L5" s="36">
        <v>105.0</v>
      </c>
      <c r="M5" s="37">
        <f t="shared" si="1"/>
        <v>137</v>
      </c>
    </row>
    <row r="6">
      <c r="A6" s="28">
        <v>45659.891802199076</v>
      </c>
      <c r="B6" s="29">
        <v>45658.0</v>
      </c>
      <c r="C6" s="30" t="s">
        <v>9</v>
      </c>
      <c r="D6" s="31">
        <v>140575.0</v>
      </c>
      <c r="E6" s="31">
        <v>90622.0</v>
      </c>
      <c r="F6" s="31">
        <v>26812.0</v>
      </c>
      <c r="G6" s="31">
        <v>0.0</v>
      </c>
      <c r="H6" s="31">
        <v>146.0</v>
      </c>
      <c r="I6" s="31">
        <v>58317.0</v>
      </c>
      <c r="J6" s="31">
        <v>58503.0</v>
      </c>
      <c r="K6" s="31">
        <v>0.0</v>
      </c>
      <c r="L6" s="31">
        <v>400.0</v>
      </c>
      <c r="M6" s="32">
        <f t="shared" si="1"/>
        <v>186</v>
      </c>
    </row>
    <row r="7">
      <c r="A7" s="33">
        <v>45659.89415085648</v>
      </c>
      <c r="B7" s="34">
        <v>45658.0</v>
      </c>
      <c r="C7" s="35" t="s">
        <v>12</v>
      </c>
      <c r="D7" s="36">
        <v>50489.0</v>
      </c>
      <c r="E7" s="36">
        <v>33729.0</v>
      </c>
      <c r="F7" s="36">
        <v>7849.0</v>
      </c>
      <c r="G7" s="36">
        <v>0.0</v>
      </c>
      <c r="H7" s="36">
        <v>0.0</v>
      </c>
      <c r="I7" s="36">
        <v>29613.0</v>
      </c>
      <c r="J7" s="36">
        <v>29730.0</v>
      </c>
      <c r="K7" s="36">
        <v>0.0</v>
      </c>
      <c r="L7" s="36">
        <v>90.0</v>
      </c>
      <c r="M7" s="37">
        <f t="shared" si="1"/>
        <v>117</v>
      </c>
    </row>
    <row r="8">
      <c r="A8" s="28">
        <v>45659.90538966435</v>
      </c>
      <c r="B8" s="29">
        <v>45658.0</v>
      </c>
      <c r="C8" s="30" t="s">
        <v>7</v>
      </c>
      <c r="D8" s="31">
        <v>183632.0</v>
      </c>
      <c r="E8" s="31">
        <v>62793.0</v>
      </c>
      <c r="F8" s="31">
        <v>45734.0</v>
      </c>
      <c r="G8" s="31">
        <v>13262.0</v>
      </c>
      <c r="H8" s="31">
        <v>0.0</v>
      </c>
      <c r="I8" s="31">
        <v>90097.0</v>
      </c>
      <c r="J8" s="31">
        <v>90342.0</v>
      </c>
      <c r="K8" s="31">
        <v>34100.0</v>
      </c>
      <c r="L8" s="31">
        <v>31694.0</v>
      </c>
      <c r="M8" s="32">
        <f t="shared" si="1"/>
        <v>245</v>
      </c>
    </row>
    <row r="9">
      <c r="A9" s="33">
        <v>45659.92107167824</v>
      </c>
      <c r="B9" s="34">
        <v>45659.0</v>
      </c>
      <c r="C9" s="35" t="s">
        <v>8</v>
      </c>
      <c r="D9" s="36">
        <v>162173.0</v>
      </c>
      <c r="E9" s="36">
        <v>49464.0</v>
      </c>
      <c r="F9" s="36">
        <v>48210.0</v>
      </c>
      <c r="G9" s="38"/>
      <c r="H9" s="36">
        <v>4038.0</v>
      </c>
      <c r="I9" s="36">
        <v>45072.0</v>
      </c>
      <c r="J9" s="36">
        <v>45290.0</v>
      </c>
      <c r="K9" s="36">
        <v>72000.0</v>
      </c>
      <c r="L9" s="36">
        <v>791.0</v>
      </c>
      <c r="M9" s="37">
        <f t="shared" si="1"/>
        <v>218</v>
      </c>
    </row>
    <row r="10">
      <c r="A10" s="28">
        <v>45659.931655127315</v>
      </c>
      <c r="B10" s="29">
        <v>45659.0</v>
      </c>
      <c r="C10" s="30" t="s">
        <v>9</v>
      </c>
      <c r="D10" s="31">
        <v>171067.0</v>
      </c>
      <c r="E10" s="31">
        <v>60745.0</v>
      </c>
      <c r="F10" s="31">
        <v>41803.0</v>
      </c>
      <c r="G10" s="31">
        <v>0.0</v>
      </c>
      <c r="H10" s="31">
        <v>0.0</v>
      </c>
      <c r="I10" s="31">
        <v>58504.0</v>
      </c>
      <c r="J10" s="31">
        <v>58761.0</v>
      </c>
      <c r="K10" s="30" t="s">
        <v>31</v>
      </c>
      <c r="L10" s="31">
        <v>450.0</v>
      </c>
      <c r="M10" s="32">
        <f t="shared" si="1"/>
        <v>257</v>
      </c>
    </row>
    <row r="11">
      <c r="A11" s="39">
        <v>45659.94175430556</v>
      </c>
      <c r="B11" s="34">
        <v>45659.0</v>
      </c>
      <c r="C11" s="40" t="s">
        <v>12</v>
      </c>
      <c r="D11" s="36">
        <v>64209.0</v>
      </c>
      <c r="E11" s="36">
        <v>33902.0</v>
      </c>
      <c r="F11" s="36">
        <v>11076.0</v>
      </c>
      <c r="G11" s="36">
        <v>268.0</v>
      </c>
      <c r="H11" s="36">
        <v>4819.0</v>
      </c>
      <c r="I11" s="36">
        <v>29731.0</v>
      </c>
      <c r="J11" s="36">
        <v>29862.0</v>
      </c>
      <c r="K11" s="36">
        <v>0.0</v>
      </c>
      <c r="L11" s="36">
        <v>1003.0</v>
      </c>
      <c r="M11" s="37">
        <f t="shared" si="1"/>
        <v>131</v>
      </c>
    </row>
    <row r="12">
      <c r="A12" s="41">
        <v>45659.94186943287</v>
      </c>
      <c r="B12" s="29">
        <v>45659.0</v>
      </c>
      <c r="C12" s="42" t="s">
        <v>7</v>
      </c>
      <c r="D12" s="31">
        <v>310387.0</v>
      </c>
      <c r="E12" s="31">
        <v>126177.0</v>
      </c>
      <c r="F12" s="31">
        <v>84837.0</v>
      </c>
      <c r="G12" s="31">
        <v>14230.0</v>
      </c>
      <c r="H12" s="31">
        <v>0.0</v>
      </c>
      <c r="I12" s="31">
        <v>90343.0</v>
      </c>
      <c r="J12" s="31">
        <v>90745.0</v>
      </c>
      <c r="K12" s="31">
        <v>30200.0</v>
      </c>
      <c r="L12" s="31">
        <v>770.0</v>
      </c>
      <c r="M12" s="32">
        <f t="shared" si="1"/>
        <v>402</v>
      </c>
    </row>
    <row r="13">
      <c r="A13" s="39">
        <v>45659.97043035879</v>
      </c>
      <c r="B13" s="34">
        <v>45659.0</v>
      </c>
      <c r="C13" s="40" t="s">
        <v>10</v>
      </c>
      <c r="D13" s="36">
        <v>146409.0</v>
      </c>
      <c r="E13" s="36">
        <v>62556.0</v>
      </c>
      <c r="F13" s="36">
        <v>33489.0</v>
      </c>
      <c r="G13" s="36">
        <v>0.0</v>
      </c>
      <c r="H13" s="36">
        <v>2258.0</v>
      </c>
      <c r="I13" s="36">
        <v>58151.0</v>
      </c>
      <c r="J13" s="36">
        <v>58394.0</v>
      </c>
      <c r="K13" s="36">
        <v>36500.0</v>
      </c>
      <c r="L13" s="36">
        <v>571.0</v>
      </c>
      <c r="M13" s="37">
        <f t="shared" si="1"/>
        <v>243</v>
      </c>
    </row>
    <row r="14">
      <c r="A14" s="43">
        <v>45660.48903946759</v>
      </c>
      <c r="B14" s="44">
        <v>45659.0</v>
      </c>
      <c r="C14" s="45" t="s">
        <v>13</v>
      </c>
      <c r="D14" s="46">
        <v>175026.0</v>
      </c>
      <c r="E14" s="46">
        <v>26483.0</v>
      </c>
      <c r="F14" s="46">
        <v>16848.0</v>
      </c>
      <c r="G14" s="46">
        <v>102730.0</v>
      </c>
      <c r="H14" s="46">
        <v>381108.0</v>
      </c>
      <c r="I14" s="46">
        <v>18308.0</v>
      </c>
      <c r="J14" s="46">
        <v>18427.0</v>
      </c>
      <c r="K14" s="46">
        <v>0.0</v>
      </c>
      <c r="L14" s="46">
        <v>330.0</v>
      </c>
      <c r="M14" s="47">
        <f t="shared" si="1"/>
        <v>119</v>
      </c>
    </row>
    <row r="15">
      <c r="A15" s="48">
        <v>45660.493136307865</v>
      </c>
      <c r="B15" s="49">
        <v>45659.0</v>
      </c>
      <c r="C15" s="50" t="s">
        <v>11</v>
      </c>
      <c r="D15" s="51">
        <v>100359.0</v>
      </c>
      <c r="E15" s="51">
        <v>41552.0</v>
      </c>
      <c r="F15" s="51">
        <v>13778.0</v>
      </c>
      <c r="G15" s="51">
        <v>0.0</v>
      </c>
      <c r="H15" s="51">
        <v>0.0</v>
      </c>
      <c r="I15" s="51">
        <v>48937.0</v>
      </c>
      <c r="J15" s="51">
        <v>49137.0</v>
      </c>
      <c r="K15" s="51">
        <v>34000.0</v>
      </c>
      <c r="L15" s="51">
        <v>350.0</v>
      </c>
      <c r="M15" s="52">
        <f t="shared" si="1"/>
        <v>200</v>
      </c>
    </row>
    <row r="16">
      <c r="A16" s="43">
        <v>45660.932200509254</v>
      </c>
      <c r="B16" s="44">
        <v>45660.0</v>
      </c>
      <c r="C16" s="45" t="s">
        <v>8</v>
      </c>
      <c r="D16" s="46">
        <v>126442.0</v>
      </c>
      <c r="E16" s="46">
        <v>61273.0</v>
      </c>
      <c r="F16" s="46">
        <v>29674.0</v>
      </c>
      <c r="G16" s="53"/>
      <c r="H16" s="46">
        <v>1799.0</v>
      </c>
      <c r="I16" s="46">
        <v>45291.0</v>
      </c>
      <c r="J16" s="46">
        <v>45483.0</v>
      </c>
      <c r="K16" s="46">
        <v>68500.0</v>
      </c>
      <c r="L16" s="46">
        <v>530.0</v>
      </c>
      <c r="M16" s="47">
        <f t="shared" si="1"/>
        <v>192</v>
      </c>
    </row>
    <row r="17">
      <c r="A17" s="48">
        <v>45660.93856769676</v>
      </c>
      <c r="B17" s="49">
        <v>45660.0</v>
      </c>
      <c r="C17" s="50" t="s">
        <v>12</v>
      </c>
      <c r="D17" s="51">
        <v>90656.0</v>
      </c>
      <c r="E17" s="51">
        <v>62183.0</v>
      </c>
      <c r="F17" s="51">
        <v>18077.0</v>
      </c>
      <c r="G17" s="51">
        <v>0.0</v>
      </c>
      <c r="H17" s="51">
        <v>1578.0</v>
      </c>
      <c r="I17" s="51">
        <v>29863.0</v>
      </c>
      <c r="J17" s="51">
        <v>30012.0</v>
      </c>
      <c r="K17" s="51">
        <v>0.0</v>
      </c>
      <c r="L17" s="51">
        <v>80.0</v>
      </c>
      <c r="M17" s="52">
        <f t="shared" si="1"/>
        <v>149</v>
      </c>
    </row>
    <row r="18">
      <c r="A18" s="43">
        <v>45660.9499631713</v>
      </c>
      <c r="B18" s="44">
        <v>45660.0</v>
      </c>
      <c r="C18" s="45" t="s">
        <v>7</v>
      </c>
      <c r="D18" s="46">
        <v>311094.0</v>
      </c>
      <c r="E18" s="46">
        <v>53977.0</v>
      </c>
      <c r="F18" s="46">
        <v>139656.0</v>
      </c>
      <c r="G18" s="46">
        <v>5126.0</v>
      </c>
      <c r="H18" s="46">
        <v>0.0</v>
      </c>
      <c r="I18" s="46">
        <v>90746.0</v>
      </c>
      <c r="J18" s="46">
        <v>91187.0</v>
      </c>
      <c r="K18" s="46">
        <v>84600.0</v>
      </c>
      <c r="L18" s="46">
        <v>2674.0</v>
      </c>
      <c r="M18" s="47">
        <f t="shared" si="1"/>
        <v>441</v>
      </c>
    </row>
    <row r="19">
      <c r="A19" s="48">
        <v>45660.96591775463</v>
      </c>
      <c r="B19" s="49">
        <v>45660.0</v>
      </c>
      <c r="C19" s="50" t="s">
        <v>10</v>
      </c>
      <c r="D19" s="51">
        <v>150571.0</v>
      </c>
      <c r="E19" s="51">
        <v>74327.0</v>
      </c>
      <c r="F19" s="51">
        <v>35498.0</v>
      </c>
      <c r="G19" s="51">
        <v>0.0</v>
      </c>
      <c r="H19" s="51">
        <v>443.0</v>
      </c>
      <c r="I19" s="51">
        <v>58395.0</v>
      </c>
      <c r="J19" s="51">
        <v>58628.0</v>
      </c>
      <c r="K19" s="51">
        <v>0.0</v>
      </c>
      <c r="L19" s="51">
        <v>300.0</v>
      </c>
      <c r="M19" s="52">
        <f t="shared" si="1"/>
        <v>233</v>
      </c>
    </row>
    <row r="20">
      <c r="A20" s="43">
        <v>45660.97477084491</v>
      </c>
      <c r="B20" s="44">
        <v>45660.0</v>
      </c>
      <c r="C20" s="42" t="s">
        <v>13</v>
      </c>
      <c r="D20" s="46">
        <v>399784.0</v>
      </c>
      <c r="E20" s="46">
        <v>53867.0</v>
      </c>
      <c r="F20" s="46">
        <v>8837.0</v>
      </c>
      <c r="G20" s="46">
        <v>294809.0</v>
      </c>
      <c r="H20" s="46">
        <v>488106.0</v>
      </c>
      <c r="I20" s="46">
        <v>18428.0</v>
      </c>
      <c r="J20" s="46">
        <v>18565.0</v>
      </c>
      <c r="K20" s="53"/>
      <c r="L20" s="53"/>
      <c r="M20" s="54">
        <f t="shared" si="1"/>
        <v>137</v>
      </c>
    </row>
    <row r="21">
      <c r="A21" s="48">
        <v>45661.573104780095</v>
      </c>
      <c r="B21" s="49">
        <v>45660.0</v>
      </c>
      <c r="C21" s="50" t="s">
        <v>9</v>
      </c>
      <c r="D21" s="51">
        <v>171420.0</v>
      </c>
      <c r="E21" s="51">
        <v>86930.0</v>
      </c>
      <c r="F21" s="51">
        <v>25447.0</v>
      </c>
      <c r="G21" s="51">
        <v>0.0</v>
      </c>
      <c r="H21" s="51">
        <v>0.0</v>
      </c>
      <c r="I21" s="51">
        <v>58762.0</v>
      </c>
      <c r="J21" s="51">
        <v>59019.0</v>
      </c>
      <c r="K21" s="51">
        <v>100500.0</v>
      </c>
      <c r="L21" s="51">
        <v>460.0</v>
      </c>
      <c r="M21" s="52">
        <f t="shared" si="1"/>
        <v>257</v>
      </c>
    </row>
    <row r="22">
      <c r="A22" s="43">
        <v>45662.51846944445</v>
      </c>
      <c r="B22" s="44">
        <v>45660.0</v>
      </c>
      <c r="C22" s="45" t="s">
        <v>11</v>
      </c>
      <c r="D22" s="46">
        <v>91675.0</v>
      </c>
      <c r="E22" s="46">
        <v>33969.0</v>
      </c>
      <c r="F22" s="46">
        <v>24106.0</v>
      </c>
      <c r="G22" s="46">
        <v>0.0</v>
      </c>
      <c r="H22" s="46">
        <v>0.0</v>
      </c>
      <c r="I22" s="46">
        <v>49138.0</v>
      </c>
      <c r="J22" s="46">
        <v>49346.0</v>
      </c>
      <c r="K22" s="46">
        <v>30000.0</v>
      </c>
      <c r="L22" s="46">
        <v>350.0</v>
      </c>
      <c r="M22" s="47">
        <f t="shared" si="1"/>
        <v>208</v>
      </c>
    </row>
    <row r="23">
      <c r="A23" s="48">
        <v>45661.92309981481</v>
      </c>
      <c r="B23" s="49">
        <v>45661.0</v>
      </c>
      <c r="C23" s="50" t="s">
        <v>8</v>
      </c>
      <c r="D23" s="51">
        <v>125102.0</v>
      </c>
      <c r="E23" s="51">
        <v>50081.0</v>
      </c>
      <c r="F23" s="51">
        <v>25947.0</v>
      </c>
      <c r="G23" s="55"/>
      <c r="H23" s="51">
        <v>6179.0</v>
      </c>
      <c r="I23" s="51">
        <v>45484.0</v>
      </c>
      <c r="J23" s="51">
        <v>45677.0</v>
      </c>
      <c r="K23" s="51">
        <v>36500.0</v>
      </c>
      <c r="L23" s="51">
        <v>344.0</v>
      </c>
      <c r="M23" s="52">
        <f t="shared" si="1"/>
        <v>193</v>
      </c>
    </row>
    <row r="24">
      <c r="A24" s="43">
        <v>45661.942906620374</v>
      </c>
      <c r="B24" s="44">
        <v>45661.0</v>
      </c>
      <c r="C24" s="45" t="s">
        <v>7</v>
      </c>
      <c r="D24" s="46">
        <v>330319.0</v>
      </c>
      <c r="E24" s="46">
        <v>68839.0</v>
      </c>
      <c r="F24" s="46">
        <v>144052.0</v>
      </c>
      <c r="G24" s="46">
        <v>21242.0</v>
      </c>
      <c r="H24" s="46">
        <v>0.0</v>
      </c>
      <c r="I24" s="46">
        <v>91188.0</v>
      </c>
      <c r="J24" s="46">
        <v>91614.0</v>
      </c>
      <c r="K24" s="46">
        <v>114600.0</v>
      </c>
      <c r="L24" s="46">
        <v>654.0</v>
      </c>
      <c r="M24" s="47">
        <f t="shared" si="1"/>
        <v>426</v>
      </c>
    </row>
    <row r="25">
      <c r="A25" s="48">
        <v>45661.94771259259</v>
      </c>
      <c r="B25" s="49">
        <v>45661.0</v>
      </c>
      <c r="C25" s="50" t="s">
        <v>12</v>
      </c>
      <c r="D25" s="51">
        <v>77475.0</v>
      </c>
      <c r="E25" s="51">
        <v>51570.0</v>
      </c>
      <c r="F25" s="51">
        <v>18565.0</v>
      </c>
      <c r="G25" s="51">
        <v>0.0</v>
      </c>
      <c r="H25" s="51">
        <v>623.0</v>
      </c>
      <c r="I25" s="51">
        <v>30013.0</v>
      </c>
      <c r="J25" s="51">
        <v>30137.0</v>
      </c>
      <c r="K25" s="56" t="s">
        <v>32</v>
      </c>
      <c r="L25" s="51">
        <v>235.0</v>
      </c>
      <c r="M25" s="52">
        <f t="shared" si="1"/>
        <v>124</v>
      </c>
    </row>
    <row r="26">
      <c r="A26" s="43">
        <v>45661.96225201389</v>
      </c>
      <c r="B26" s="44">
        <v>45661.0</v>
      </c>
      <c r="C26" s="45" t="s">
        <v>10</v>
      </c>
      <c r="D26" s="46">
        <v>137358.0</v>
      </c>
      <c r="E26" s="46">
        <v>71807.0</v>
      </c>
      <c r="F26" s="46">
        <v>30178.0</v>
      </c>
      <c r="G26" s="46">
        <v>0.0</v>
      </c>
      <c r="H26" s="46">
        <v>4265.0</v>
      </c>
      <c r="I26" s="46">
        <v>58629.0</v>
      </c>
      <c r="J26" s="46">
        <v>58903.0</v>
      </c>
      <c r="K26" s="46">
        <v>0.0</v>
      </c>
      <c r="L26" s="46">
        <v>90.0</v>
      </c>
      <c r="M26" s="47">
        <f t="shared" si="1"/>
        <v>274</v>
      </c>
    </row>
    <row r="27">
      <c r="A27" s="48">
        <v>45661.97034457176</v>
      </c>
      <c r="B27" s="49">
        <v>45661.0</v>
      </c>
      <c r="C27" s="50" t="s">
        <v>13</v>
      </c>
      <c r="D27" s="51">
        <v>300341.0</v>
      </c>
      <c r="E27" s="51">
        <v>35626.0</v>
      </c>
      <c r="F27" s="51">
        <v>10505.0</v>
      </c>
      <c r="G27" s="51">
        <v>216533.0</v>
      </c>
      <c r="H27" s="51">
        <v>491622.0</v>
      </c>
      <c r="I27" s="51">
        <v>18566.0</v>
      </c>
      <c r="J27" s="51">
        <v>18692.0</v>
      </c>
      <c r="K27" s="55"/>
      <c r="L27" s="55"/>
      <c r="M27" s="57">
        <f t="shared" si="1"/>
        <v>126</v>
      </c>
    </row>
    <row r="28">
      <c r="A28" s="43">
        <v>45662.48993829861</v>
      </c>
      <c r="B28" s="44">
        <v>45661.0</v>
      </c>
      <c r="C28" s="45" t="s">
        <v>9</v>
      </c>
      <c r="D28" s="46">
        <v>200175.0</v>
      </c>
      <c r="E28" s="46">
        <v>111282.0</v>
      </c>
      <c r="F28" s="46">
        <v>32001.0</v>
      </c>
      <c r="G28" s="53"/>
      <c r="H28" s="53"/>
      <c r="I28" s="46">
        <v>59020.0</v>
      </c>
      <c r="J28" s="46">
        <v>59272.0</v>
      </c>
      <c r="K28" s="53"/>
      <c r="L28" s="46">
        <v>410.0</v>
      </c>
      <c r="M28" s="47">
        <f t="shared" si="1"/>
        <v>252</v>
      </c>
    </row>
    <row r="29">
      <c r="A29" s="48">
        <v>45662.520618090275</v>
      </c>
      <c r="B29" s="49">
        <v>45661.0</v>
      </c>
      <c r="C29" s="50" t="s">
        <v>11</v>
      </c>
      <c r="D29" s="51">
        <v>128966.0</v>
      </c>
      <c r="E29" s="51">
        <v>36970.0</v>
      </c>
      <c r="F29" s="51">
        <v>28409.0</v>
      </c>
      <c r="G29" s="51">
        <v>0.0</v>
      </c>
      <c r="H29" s="51">
        <v>0.0</v>
      </c>
      <c r="I29" s="51">
        <v>49347.0</v>
      </c>
      <c r="J29" s="51">
        <v>49546.0</v>
      </c>
      <c r="K29" s="51">
        <v>33000.0</v>
      </c>
      <c r="L29" s="51">
        <v>294.0</v>
      </c>
      <c r="M29" s="52">
        <f t="shared" si="1"/>
        <v>199</v>
      </c>
    </row>
    <row r="30">
      <c r="A30" s="43">
        <v>45662.925407118055</v>
      </c>
      <c r="B30" s="44">
        <v>45662.0</v>
      </c>
      <c r="C30" s="45" t="s">
        <v>8</v>
      </c>
      <c r="D30" s="46">
        <v>103983.0</v>
      </c>
      <c r="E30" s="46">
        <v>53909.0</v>
      </c>
      <c r="F30" s="46">
        <v>18829.0</v>
      </c>
      <c r="G30" s="53"/>
      <c r="H30" s="46">
        <v>3178.0</v>
      </c>
      <c r="I30" s="46">
        <v>45678.0</v>
      </c>
      <c r="J30" s="46">
        <v>45873.0</v>
      </c>
      <c r="K30" s="53"/>
      <c r="L30" s="46">
        <v>130.0</v>
      </c>
      <c r="M30" s="47">
        <f t="shared" si="1"/>
        <v>195</v>
      </c>
    </row>
    <row r="31">
      <c r="A31" s="48">
        <v>45662.93572553241</v>
      </c>
      <c r="B31" s="49">
        <v>45662.0</v>
      </c>
      <c r="C31" s="50" t="s">
        <v>9</v>
      </c>
      <c r="D31" s="51">
        <v>109124.0</v>
      </c>
      <c r="E31" s="51">
        <v>54722.0</v>
      </c>
      <c r="F31" s="51">
        <v>21442.0</v>
      </c>
      <c r="G31" s="51">
        <v>0.0</v>
      </c>
      <c r="H31" s="51">
        <v>0.0</v>
      </c>
      <c r="I31" s="51">
        <v>59273.0</v>
      </c>
      <c r="J31" s="51">
        <v>59453.0</v>
      </c>
      <c r="K31" s="51">
        <v>0.0</v>
      </c>
      <c r="L31" s="51">
        <v>10.0</v>
      </c>
      <c r="M31" s="52">
        <f t="shared" si="1"/>
        <v>180</v>
      </c>
    </row>
    <row r="32">
      <c r="A32" s="43">
        <v>45662.93919871528</v>
      </c>
      <c r="B32" s="44">
        <v>45662.0</v>
      </c>
      <c r="C32" s="45" t="s">
        <v>12</v>
      </c>
      <c r="D32" s="46">
        <v>63448.0</v>
      </c>
      <c r="E32" s="46">
        <v>32082.0</v>
      </c>
      <c r="F32" s="46">
        <v>13208.0</v>
      </c>
      <c r="G32" s="46">
        <v>0.0</v>
      </c>
      <c r="H32" s="46">
        <v>1520.0</v>
      </c>
      <c r="I32" s="46">
        <v>30138.0</v>
      </c>
      <c r="J32" s="46">
        <v>30280.0</v>
      </c>
      <c r="K32" s="58" t="s">
        <v>32</v>
      </c>
      <c r="L32" s="46">
        <v>164.0</v>
      </c>
      <c r="M32" s="47">
        <f t="shared" si="1"/>
        <v>142</v>
      </c>
    </row>
    <row r="33">
      <c r="A33" s="48">
        <v>45662.95822763889</v>
      </c>
      <c r="B33" s="49">
        <v>45662.0</v>
      </c>
      <c r="C33" s="50" t="s">
        <v>10</v>
      </c>
      <c r="D33" s="51">
        <v>168336.0</v>
      </c>
      <c r="E33" s="51">
        <v>89483.0</v>
      </c>
      <c r="F33" s="51">
        <v>37114.0</v>
      </c>
      <c r="G33" s="51">
        <v>7519.0</v>
      </c>
      <c r="H33" s="51">
        <v>2281.0</v>
      </c>
      <c r="I33" s="51">
        <v>58904.0</v>
      </c>
      <c r="J33" s="51">
        <v>59163.0</v>
      </c>
      <c r="K33" s="51">
        <v>0.0</v>
      </c>
      <c r="L33" s="51">
        <v>102415.0</v>
      </c>
      <c r="M33" s="52">
        <f t="shared" si="1"/>
        <v>259</v>
      </c>
    </row>
    <row r="34">
      <c r="A34" s="43">
        <v>45663.3807999537</v>
      </c>
      <c r="B34" s="44">
        <v>45662.0</v>
      </c>
      <c r="C34" s="45" t="s">
        <v>11</v>
      </c>
      <c r="D34" s="46">
        <v>67554.0</v>
      </c>
      <c r="E34" s="46">
        <v>43903.0</v>
      </c>
      <c r="F34" s="46">
        <v>15545.0</v>
      </c>
      <c r="G34" s="58" t="s">
        <v>31</v>
      </c>
      <c r="H34" s="58" t="s">
        <v>31</v>
      </c>
      <c r="I34" s="46">
        <v>49547.0</v>
      </c>
      <c r="J34" s="46">
        <v>49707.0</v>
      </c>
      <c r="K34" s="58" t="s">
        <v>31</v>
      </c>
      <c r="L34" s="46">
        <v>340.0</v>
      </c>
      <c r="M34" s="47">
        <f t="shared" si="1"/>
        <v>160</v>
      </c>
    </row>
    <row r="35">
      <c r="A35" s="48">
        <v>45663.50714347222</v>
      </c>
      <c r="B35" s="49">
        <v>45662.0</v>
      </c>
      <c r="C35" s="50" t="s">
        <v>13</v>
      </c>
      <c r="D35" s="51">
        <v>65496.0</v>
      </c>
      <c r="E35" s="51">
        <v>24645.0</v>
      </c>
      <c r="F35" s="51">
        <v>4880.0</v>
      </c>
      <c r="G35" s="51">
        <v>18799.0</v>
      </c>
      <c r="H35" s="51">
        <v>269205.0</v>
      </c>
      <c r="I35" s="51">
        <v>18693.0</v>
      </c>
      <c r="J35" s="51">
        <v>18763.0</v>
      </c>
      <c r="K35" s="51">
        <v>0.0</v>
      </c>
      <c r="L35" s="51">
        <v>180.0</v>
      </c>
      <c r="M35" s="52">
        <f t="shared" si="1"/>
        <v>70</v>
      </c>
    </row>
    <row r="36">
      <c r="A36" s="43">
        <v>45664.76630328703</v>
      </c>
      <c r="B36" s="44">
        <v>45662.0</v>
      </c>
      <c r="C36" s="45" t="s">
        <v>7</v>
      </c>
      <c r="D36" s="46">
        <v>205427.0</v>
      </c>
      <c r="E36" s="46">
        <v>44420.0</v>
      </c>
      <c r="F36" s="46">
        <v>90618.0</v>
      </c>
      <c r="G36" s="46">
        <v>5435.0</v>
      </c>
      <c r="H36" s="46">
        <v>0.0</v>
      </c>
      <c r="I36" s="46">
        <v>91615.0</v>
      </c>
      <c r="J36" s="46">
        <v>91925.0</v>
      </c>
      <c r="K36" s="46">
        <v>0.0</v>
      </c>
      <c r="L36" s="46">
        <v>3968.0</v>
      </c>
      <c r="M36" s="59">
        <f t="shared" si="1"/>
        <v>310</v>
      </c>
    </row>
    <row r="37">
      <c r="A37" s="48">
        <v>45663.92851052083</v>
      </c>
      <c r="B37" s="49">
        <v>45663.0</v>
      </c>
      <c r="C37" s="50" t="s">
        <v>8</v>
      </c>
      <c r="D37" s="51">
        <v>107607.0</v>
      </c>
      <c r="E37" s="51">
        <v>59207.0</v>
      </c>
      <c r="F37" s="51">
        <v>10384.0</v>
      </c>
      <c r="G37" s="55"/>
      <c r="H37" s="51">
        <v>3175.0</v>
      </c>
      <c r="I37" s="51">
        <v>45874.0</v>
      </c>
      <c r="J37" s="51">
        <v>46075.0</v>
      </c>
      <c r="K37" s="55"/>
      <c r="L37" s="51">
        <v>391.0</v>
      </c>
      <c r="M37" s="60">
        <f t="shared" si="1"/>
        <v>201</v>
      </c>
    </row>
    <row r="38">
      <c r="A38" s="43">
        <v>45663.93153310185</v>
      </c>
      <c r="B38" s="44">
        <v>45663.0</v>
      </c>
      <c r="C38" s="45" t="s">
        <v>7</v>
      </c>
      <c r="D38" s="46">
        <v>304667.0</v>
      </c>
      <c r="E38" s="46">
        <v>63352.0</v>
      </c>
      <c r="F38" s="46">
        <v>130350.0</v>
      </c>
      <c r="G38" s="46">
        <v>11457.0</v>
      </c>
      <c r="H38" s="46">
        <v>0.0</v>
      </c>
      <c r="I38" s="46">
        <v>91926.0</v>
      </c>
      <c r="J38" s="46">
        <v>92356.0</v>
      </c>
      <c r="K38" s="46">
        <v>165500.0</v>
      </c>
      <c r="L38" s="46">
        <v>8007.0</v>
      </c>
      <c r="M38" s="59">
        <f t="shared" si="1"/>
        <v>430</v>
      </c>
    </row>
    <row r="39">
      <c r="A39" s="48">
        <v>45663.94451378472</v>
      </c>
      <c r="B39" s="49">
        <v>45663.0</v>
      </c>
      <c r="C39" s="50" t="s">
        <v>12</v>
      </c>
      <c r="D39" s="51">
        <v>54665.0</v>
      </c>
      <c r="E39" s="51">
        <v>27890.0</v>
      </c>
      <c r="F39" s="51">
        <v>15984.0</v>
      </c>
      <c r="G39" s="51">
        <v>0.0</v>
      </c>
      <c r="H39" s="51">
        <v>3159.0</v>
      </c>
      <c r="I39" s="51">
        <v>30281.0</v>
      </c>
      <c r="J39" s="51">
        <v>30419.0</v>
      </c>
      <c r="K39" s="51">
        <v>29420.0</v>
      </c>
      <c r="L39" s="51">
        <v>320.0</v>
      </c>
      <c r="M39" s="60">
        <f t="shared" si="1"/>
        <v>138</v>
      </c>
    </row>
    <row r="40">
      <c r="A40" s="43">
        <v>45663.949162881945</v>
      </c>
      <c r="B40" s="44">
        <v>45663.0</v>
      </c>
      <c r="C40" s="45" t="s">
        <v>11</v>
      </c>
      <c r="D40" s="46">
        <v>97579.0</v>
      </c>
      <c r="E40" s="46">
        <v>45700.0</v>
      </c>
      <c r="F40" s="46">
        <v>68564.0</v>
      </c>
      <c r="G40" s="58" t="s">
        <v>31</v>
      </c>
      <c r="H40" s="58" t="s">
        <v>31</v>
      </c>
      <c r="I40" s="46">
        <v>49708.0</v>
      </c>
      <c r="J40" s="46">
        <v>49932.0</v>
      </c>
      <c r="K40" s="46">
        <v>16500.0</v>
      </c>
      <c r="L40" s="53"/>
      <c r="M40" s="59">
        <f t="shared" si="1"/>
        <v>224</v>
      </c>
    </row>
    <row r="41">
      <c r="A41" s="48">
        <v>45663.96747510417</v>
      </c>
      <c r="B41" s="49">
        <v>45663.0</v>
      </c>
      <c r="C41" s="50" t="s">
        <v>10</v>
      </c>
      <c r="D41" s="51">
        <v>155933.0</v>
      </c>
      <c r="E41" s="51">
        <v>52887.0</v>
      </c>
      <c r="F41" s="51">
        <v>45628.0</v>
      </c>
      <c r="G41" s="51">
        <v>0.0</v>
      </c>
      <c r="H41" s="51">
        <v>1125.0</v>
      </c>
      <c r="I41" s="51">
        <v>59164.0</v>
      </c>
      <c r="J41" s="51">
        <v>59434.0</v>
      </c>
      <c r="K41" s="51">
        <v>0.0</v>
      </c>
      <c r="L41" s="51">
        <v>71867.0</v>
      </c>
      <c r="M41" s="60">
        <f t="shared" si="1"/>
        <v>270</v>
      </c>
    </row>
    <row r="42">
      <c r="A42" s="43">
        <v>45664.548512002315</v>
      </c>
      <c r="B42" s="44">
        <v>45663.0</v>
      </c>
      <c r="C42" s="45" t="s">
        <v>13</v>
      </c>
      <c r="D42" s="46">
        <v>441098.0</v>
      </c>
      <c r="E42" s="46">
        <v>40330.0</v>
      </c>
      <c r="F42" s="46">
        <v>7602.0</v>
      </c>
      <c r="G42" s="46">
        <v>352623.0</v>
      </c>
      <c r="H42" s="46">
        <v>421030.0</v>
      </c>
      <c r="I42" s="46">
        <v>18764.0</v>
      </c>
      <c r="J42" s="46">
        <v>18911.0</v>
      </c>
      <c r="K42" s="46">
        <v>0.0</v>
      </c>
      <c r="L42" s="46">
        <v>350.0</v>
      </c>
      <c r="M42" s="59">
        <f t="shared" si="1"/>
        <v>147</v>
      </c>
    </row>
    <row r="43">
      <c r="A43" s="48">
        <v>45664.670410335646</v>
      </c>
      <c r="B43" s="49">
        <v>45663.0</v>
      </c>
      <c r="C43" s="50" t="s">
        <v>9</v>
      </c>
      <c r="D43" s="51">
        <v>175150.0</v>
      </c>
      <c r="E43" s="51">
        <v>69724.0</v>
      </c>
      <c r="F43" s="51">
        <v>47522.0</v>
      </c>
      <c r="G43" s="51">
        <v>0.0</v>
      </c>
      <c r="H43" s="51">
        <v>0.0</v>
      </c>
      <c r="I43" s="51">
        <v>59454.0</v>
      </c>
      <c r="J43" s="51">
        <v>59680.0</v>
      </c>
      <c r="K43" s="51">
        <v>50000.0</v>
      </c>
      <c r="L43" s="51">
        <v>470.0</v>
      </c>
      <c r="M43" s="60">
        <f t="shared" si="1"/>
        <v>226</v>
      </c>
    </row>
    <row r="44">
      <c r="A44" s="43">
        <v>45664.93709908565</v>
      </c>
      <c r="B44" s="44">
        <v>45664.0</v>
      </c>
      <c r="C44" s="45" t="s">
        <v>8</v>
      </c>
      <c r="D44" s="46">
        <v>104992.0</v>
      </c>
      <c r="E44" s="46">
        <v>37394.0</v>
      </c>
      <c r="F44" s="46">
        <v>19559.0</v>
      </c>
      <c r="G44" s="53"/>
      <c r="H44" s="46">
        <v>2035.0</v>
      </c>
      <c r="I44" s="46">
        <v>46076.0</v>
      </c>
      <c r="J44" s="46">
        <v>46249.0</v>
      </c>
      <c r="K44" s="53"/>
      <c r="L44" s="46">
        <v>143.0</v>
      </c>
      <c r="M44" s="59">
        <f t="shared" si="1"/>
        <v>173</v>
      </c>
    </row>
    <row r="45">
      <c r="A45" s="48">
        <v>45664.939169317135</v>
      </c>
      <c r="B45" s="49">
        <v>45664.0</v>
      </c>
      <c r="C45" s="50" t="s">
        <v>12</v>
      </c>
      <c r="D45" s="51">
        <v>73905.0</v>
      </c>
      <c r="E45" s="51">
        <v>47522.0</v>
      </c>
      <c r="F45" s="51">
        <v>12925.0</v>
      </c>
      <c r="G45" s="51">
        <v>0.0</v>
      </c>
      <c r="H45" s="51">
        <v>1144.0</v>
      </c>
      <c r="I45" s="51">
        <v>30420.0</v>
      </c>
      <c r="J45" s="51">
        <v>30548.0</v>
      </c>
      <c r="K45" s="51">
        <v>0.0</v>
      </c>
      <c r="L45" s="51">
        <v>1435.0</v>
      </c>
      <c r="M45" s="60">
        <f t="shared" si="1"/>
        <v>128</v>
      </c>
    </row>
    <row r="46">
      <c r="A46" s="43">
        <v>45664.9466715625</v>
      </c>
      <c r="B46" s="44">
        <v>45664.0</v>
      </c>
      <c r="C46" s="45" t="s">
        <v>7</v>
      </c>
      <c r="D46" s="46">
        <v>256995.0</v>
      </c>
      <c r="E46" s="46">
        <v>114805.0</v>
      </c>
      <c r="F46" s="58" t="s">
        <v>33</v>
      </c>
      <c r="G46" s="46">
        <v>6558.0</v>
      </c>
      <c r="H46" s="46">
        <v>0.0</v>
      </c>
      <c r="I46" s="46">
        <v>92357.0</v>
      </c>
      <c r="J46" s="46">
        <v>92740.0</v>
      </c>
      <c r="K46" s="46">
        <v>54000.0</v>
      </c>
      <c r="L46" s="46">
        <v>42743.0</v>
      </c>
      <c r="M46" s="59">
        <f t="shared" si="1"/>
        <v>383</v>
      </c>
    </row>
    <row r="47">
      <c r="A47" s="48">
        <v>45664.969514641205</v>
      </c>
      <c r="B47" s="49">
        <v>45664.0</v>
      </c>
      <c r="C47" s="50" t="s">
        <v>10</v>
      </c>
      <c r="D47" s="51">
        <v>139465.0</v>
      </c>
      <c r="E47" s="51">
        <v>78321.0</v>
      </c>
      <c r="F47" s="51">
        <v>34048.0</v>
      </c>
      <c r="G47" s="51">
        <v>0.0</v>
      </c>
      <c r="H47" s="51">
        <v>2073.0</v>
      </c>
      <c r="I47" s="51">
        <v>59435.0</v>
      </c>
      <c r="J47" s="51">
        <v>59706.0</v>
      </c>
      <c r="K47" s="51">
        <v>0.0</v>
      </c>
      <c r="L47" s="51">
        <v>54521.0</v>
      </c>
      <c r="M47" s="60">
        <f t="shared" si="1"/>
        <v>271</v>
      </c>
    </row>
    <row r="48">
      <c r="A48" s="43">
        <v>45665.36420074074</v>
      </c>
      <c r="B48" s="44">
        <v>45664.0</v>
      </c>
      <c r="C48" s="45" t="s">
        <v>11</v>
      </c>
      <c r="D48" s="46">
        <v>101275.0</v>
      </c>
      <c r="E48" s="46">
        <v>50821.0</v>
      </c>
      <c r="F48" s="46">
        <v>14379.0</v>
      </c>
      <c r="G48" s="58" t="s">
        <v>31</v>
      </c>
      <c r="H48" s="58" t="s">
        <v>31</v>
      </c>
      <c r="I48" s="46">
        <v>49933.0</v>
      </c>
      <c r="J48" s="46">
        <v>50127.0</v>
      </c>
      <c r="K48" s="46">
        <v>29500.0</v>
      </c>
      <c r="L48" s="46">
        <v>450.0</v>
      </c>
      <c r="M48" s="59">
        <f t="shared" si="1"/>
        <v>194</v>
      </c>
    </row>
    <row r="49">
      <c r="A49" s="48">
        <v>45665.541136527776</v>
      </c>
      <c r="B49" s="49">
        <v>45664.0</v>
      </c>
      <c r="C49" s="50" t="s">
        <v>13</v>
      </c>
      <c r="D49" s="51">
        <v>329839.0</v>
      </c>
      <c r="E49" s="51">
        <v>37414.0</v>
      </c>
      <c r="F49" s="51">
        <v>7487.0</v>
      </c>
      <c r="G49" s="51">
        <v>216488.0</v>
      </c>
      <c r="H49" s="51">
        <v>437968.0</v>
      </c>
      <c r="I49" s="51">
        <v>18912.0</v>
      </c>
      <c r="J49" s="51">
        <v>19056.0</v>
      </c>
      <c r="K49" s="51">
        <v>75000.0</v>
      </c>
      <c r="L49" s="51">
        <v>330.0</v>
      </c>
      <c r="M49" s="60">
        <f t="shared" si="1"/>
        <v>144</v>
      </c>
    </row>
    <row r="50">
      <c r="A50" s="43">
        <v>45665.5623815162</v>
      </c>
      <c r="B50" s="44">
        <v>45664.0</v>
      </c>
      <c r="C50" s="45" t="s">
        <v>9</v>
      </c>
      <c r="D50" s="46">
        <v>155115.0</v>
      </c>
      <c r="E50" s="46">
        <v>76094.0</v>
      </c>
      <c r="F50" s="46">
        <v>32836.0</v>
      </c>
      <c r="G50" s="46">
        <v>0.0</v>
      </c>
      <c r="H50" s="46">
        <v>0.0</v>
      </c>
      <c r="I50" s="46">
        <v>59681.0</v>
      </c>
      <c r="J50" s="46">
        <v>59897.0</v>
      </c>
      <c r="K50" s="46">
        <v>0.0</v>
      </c>
      <c r="L50" s="46">
        <v>970.0</v>
      </c>
      <c r="M50" s="59">
        <f t="shared" si="1"/>
        <v>216</v>
      </c>
    </row>
    <row r="51">
      <c r="A51" s="48">
        <v>45665.92693041667</v>
      </c>
      <c r="B51" s="49">
        <v>45665.0</v>
      </c>
      <c r="C51" s="50" t="s">
        <v>8</v>
      </c>
      <c r="D51" s="51">
        <v>98749.0</v>
      </c>
      <c r="E51" s="51">
        <v>37394.0</v>
      </c>
      <c r="F51" s="51">
        <v>26984.0</v>
      </c>
      <c r="G51" s="55"/>
      <c r="H51" s="51">
        <v>7184.0</v>
      </c>
      <c r="I51" s="51">
        <v>46250.0</v>
      </c>
      <c r="J51" s="51">
        <v>46430.0</v>
      </c>
      <c r="K51" s="55"/>
      <c r="L51" s="51">
        <v>70.0</v>
      </c>
      <c r="M51" s="60">
        <f t="shared" si="1"/>
        <v>180</v>
      </c>
    </row>
    <row r="52">
      <c r="A52" s="43">
        <v>45665.935367708335</v>
      </c>
      <c r="B52" s="44">
        <v>45665.0</v>
      </c>
      <c r="C52" s="45" t="s">
        <v>9</v>
      </c>
      <c r="D52" s="46">
        <v>145809.0</v>
      </c>
      <c r="E52" s="46">
        <v>73758.0</v>
      </c>
      <c r="F52" s="46">
        <v>21520.0</v>
      </c>
      <c r="G52" s="46">
        <v>0.0</v>
      </c>
      <c r="H52" s="46">
        <v>0.0</v>
      </c>
      <c r="I52" s="46">
        <v>59898.0</v>
      </c>
      <c r="J52" s="46">
        <v>60113.0</v>
      </c>
      <c r="K52" s="46">
        <v>0.0</v>
      </c>
      <c r="L52" s="46">
        <v>400.0</v>
      </c>
      <c r="M52" s="59">
        <f t="shared" si="1"/>
        <v>215</v>
      </c>
    </row>
    <row r="53">
      <c r="A53" s="48">
        <v>45665.94405789352</v>
      </c>
      <c r="B53" s="49">
        <v>45665.0</v>
      </c>
      <c r="C53" s="50" t="s">
        <v>7</v>
      </c>
      <c r="D53" s="51">
        <v>294955.0</v>
      </c>
      <c r="E53" s="51">
        <v>120945.0</v>
      </c>
      <c r="F53" s="51">
        <v>66215.0</v>
      </c>
      <c r="G53" s="51">
        <v>38820.0</v>
      </c>
      <c r="H53" s="51">
        <v>0.0</v>
      </c>
      <c r="I53" s="51">
        <v>92741.0</v>
      </c>
      <c r="J53" s="51">
        <v>93148.0</v>
      </c>
      <c r="K53" s="51">
        <v>43000.0</v>
      </c>
      <c r="L53" s="51">
        <v>59969.0</v>
      </c>
      <c r="M53" s="60">
        <f t="shared" si="1"/>
        <v>407</v>
      </c>
    </row>
    <row r="54">
      <c r="A54" s="43">
        <v>45665.94989429398</v>
      </c>
      <c r="B54" s="44">
        <v>45665.0</v>
      </c>
      <c r="C54" s="45" t="s">
        <v>12</v>
      </c>
      <c r="D54" s="46">
        <v>48131.0</v>
      </c>
      <c r="E54" s="46">
        <v>35029.0</v>
      </c>
      <c r="F54" s="46">
        <v>3449.0</v>
      </c>
      <c r="G54" s="46">
        <v>0.0</v>
      </c>
      <c r="H54" s="46">
        <v>1692.0</v>
      </c>
      <c r="I54" s="46">
        <v>30549.0</v>
      </c>
      <c r="J54" s="46">
        <v>30670.0</v>
      </c>
      <c r="K54" s="46">
        <v>0.0</v>
      </c>
      <c r="L54" s="46">
        <v>6638.0</v>
      </c>
      <c r="M54" s="59">
        <f t="shared" si="1"/>
        <v>121</v>
      </c>
    </row>
    <row r="55">
      <c r="A55" s="48">
        <v>45665.96544054398</v>
      </c>
      <c r="B55" s="49">
        <v>45665.0</v>
      </c>
      <c r="C55" s="50" t="s">
        <v>10</v>
      </c>
      <c r="D55" s="51">
        <v>121739.0</v>
      </c>
      <c r="E55" s="51">
        <v>50475.0</v>
      </c>
      <c r="F55" s="51">
        <v>30095.0</v>
      </c>
      <c r="G55" s="51">
        <v>0.0</v>
      </c>
      <c r="H55" s="51">
        <v>1924.0</v>
      </c>
      <c r="I55" s="51">
        <v>59707.0</v>
      </c>
      <c r="J55" s="51">
        <v>59972.0</v>
      </c>
      <c r="K55" s="51">
        <v>0.0</v>
      </c>
      <c r="L55" s="51">
        <v>980.0</v>
      </c>
      <c r="M55" s="60">
        <f t="shared" si="1"/>
        <v>265</v>
      </c>
    </row>
    <row r="56">
      <c r="A56" s="43">
        <v>45666.831734120366</v>
      </c>
      <c r="B56" s="44">
        <v>45665.0</v>
      </c>
      <c r="C56" s="45" t="s">
        <v>11</v>
      </c>
      <c r="D56" s="46">
        <v>85543.0</v>
      </c>
      <c r="E56" s="46">
        <v>42821.0</v>
      </c>
      <c r="F56" s="46">
        <v>41767.0</v>
      </c>
      <c r="G56" s="58" t="s">
        <v>31</v>
      </c>
      <c r="H56" s="46">
        <v>4971.0</v>
      </c>
      <c r="I56" s="46">
        <v>50128.0</v>
      </c>
      <c r="J56" s="46">
        <v>50332.0</v>
      </c>
      <c r="K56" s="58" t="s">
        <v>31</v>
      </c>
      <c r="L56" s="46">
        <v>180.0</v>
      </c>
      <c r="M56" s="59">
        <f t="shared" si="1"/>
        <v>204</v>
      </c>
    </row>
    <row r="57">
      <c r="A57" s="48">
        <v>45668.57418949074</v>
      </c>
      <c r="B57" s="49">
        <v>45665.0</v>
      </c>
      <c r="C57" s="50" t="s">
        <v>13</v>
      </c>
      <c r="D57" s="51">
        <v>239523.0</v>
      </c>
      <c r="E57" s="51">
        <v>27109.0</v>
      </c>
      <c r="F57" s="51">
        <v>32379.0</v>
      </c>
      <c r="G57" s="51">
        <v>150361.0</v>
      </c>
      <c r="H57" s="51">
        <v>395032.0</v>
      </c>
      <c r="I57" s="51">
        <v>19057.0</v>
      </c>
      <c r="J57" s="51">
        <v>19191.0</v>
      </c>
      <c r="K57" s="55"/>
      <c r="L57" s="51">
        <v>330.0</v>
      </c>
      <c r="M57" s="60">
        <f t="shared" si="1"/>
        <v>134</v>
      </c>
    </row>
    <row r="58">
      <c r="A58" s="43">
        <v>45666.935694942134</v>
      </c>
      <c r="B58" s="44">
        <v>45666.0</v>
      </c>
      <c r="C58" s="45" t="s">
        <v>9</v>
      </c>
      <c r="D58" s="46">
        <v>148558.0</v>
      </c>
      <c r="E58" s="46">
        <v>99404.0</v>
      </c>
      <c r="F58" s="46">
        <v>16471.0</v>
      </c>
      <c r="G58" s="46">
        <v>0.0</v>
      </c>
      <c r="H58" s="46">
        <v>0.0</v>
      </c>
      <c r="I58" s="46">
        <v>60114.0</v>
      </c>
      <c r="J58" s="46">
        <v>60338.0</v>
      </c>
      <c r="K58" s="46">
        <v>10000.0</v>
      </c>
      <c r="L58" s="46">
        <v>450.0</v>
      </c>
      <c r="M58" s="59">
        <f t="shared" si="1"/>
        <v>224</v>
      </c>
    </row>
    <row r="59">
      <c r="A59" s="48">
        <v>45666.94072864583</v>
      </c>
      <c r="B59" s="49">
        <v>45666.0</v>
      </c>
      <c r="C59" s="50" t="s">
        <v>8</v>
      </c>
      <c r="D59" s="51">
        <v>112257.0</v>
      </c>
      <c r="E59" s="51">
        <v>39945.0</v>
      </c>
      <c r="F59" s="51">
        <v>32196.0</v>
      </c>
      <c r="G59" s="51">
        <v>1468.0</v>
      </c>
      <c r="H59" s="51">
        <v>2086.0</v>
      </c>
      <c r="I59" s="51">
        <v>46431.0</v>
      </c>
      <c r="J59" s="51">
        <v>46600.0</v>
      </c>
      <c r="K59" s="51">
        <v>39000.0</v>
      </c>
      <c r="L59" s="51">
        <v>418.0</v>
      </c>
      <c r="M59" s="60">
        <f t="shared" si="1"/>
        <v>169</v>
      </c>
    </row>
    <row r="60">
      <c r="A60" s="43">
        <v>45666.946000717595</v>
      </c>
      <c r="B60" s="44">
        <v>45666.0</v>
      </c>
      <c r="C60" s="45" t="s">
        <v>7</v>
      </c>
      <c r="D60" s="46">
        <v>278192.0</v>
      </c>
      <c r="E60" s="46">
        <v>114746.0</v>
      </c>
      <c r="F60" s="46">
        <v>61093.0</v>
      </c>
      <c r="G60" s="46">
        <v>263464.0</v>
      </c>
      <c r="H60" s="46">
        <v>0.0</v>
      </c>
      <c r="I60" s="46">
        <v>93149.0</v>
      </c>
      <c r="J60" s="46">
        <v>93518.0</v>
      </c>
      <c r="K60" s="46">
        <v>0.0</v>
      </c>
      <c r="L60" s="46">
        <v>767.0</v>
      </c>
      <c r="M60" s="59">
        <f t="shared" si="1"/>
        <v>369</v>
      </c>
    </row>
    <row r="61">
      <c r="A61" s="48">
        <v>45666.94770986111</v>
      </c>
      <c r="B61" s="49">
        <v>45666.0</v>
      </c>
      <c r="C61" s="50" t="s">
        <v>12</v>
      </c>
      <c r="D61" s="51">
        <v>61827.0</v>
      </c>
      <c r="E61" s="51">
        <v>28075.0</v>
      </c>
      <c r="F61" s="51">
        <v>20724.0</v>
      </c>
      <c r="G61" s="51">
        <v>531.0</v>
      </c>
      <c r="H61" s="51">
        <v>2639.0</v>
      </c>
      <c r="I61" s="51">
        <v>30671.0</v>
      </c>
      <c r="J61" s="51">
        <v>30794.0</v>
      </c>
      <c r="K61" s="56" t="s">
        <v>32</v>
      </c>
      <c r="L61" s="51">
        <v>148.0</v>
      </c>
      <c r="M61" s="60">
        <f t="shared" si="1"/>
        <v>123</v>
      </c>
    </row>
    <row r="62">
      <c r="A62" s="43">
        <v>45666.96288549768</v>
      </c>
      <c r="B62" s="44">
        <v>45666.0</v>
      </c>
      <c r="C62" s="45" t="s">
        <v>10</v>
      </c>
      <c r="D62" s="46">
        <v>133537.0</v>
      </c>
      <c r="E62" s="46">
        <v>63823.0</v>
      </c>
      <c r="F62" s="46">
        <v>31134.0</v>
      </c>
      <c r="G62" s="46">
        <v>264.0</v>
      </c>
      <c r="H62" s="46">
        <v>7336.0</v>
      </c>
      <c r="I62" s="46">
        <v>59973.0</v>
      </c>
      <c r="J62" s="46">
        <v>60225.0</v>
      </c>
      <c r="K62" s="46">
        <v>50000.0</v>
      </c>
      <c r="L62" s="46">
        <v>4695.0</v>
      </c>
      <c r="M62" s="59">
        <f t="shared" si="1"/>
        <v>252</v>
      </c>
    </row>
    <row r="63">
      <c r="A63" s="48">
        <v>45666.97095484954</v>
      </c>
      <c r="B63" s="49">
        <v>45666.0</v>
      </c>
      <c r="C63" s="50" t="s">
        <v>13</v>
      </c>
      <c r="D63" s="51">
        <v>200907.0</v>
      </c>
      <c r="E63" s="51">
        <v>28677.0</v>
      </c>
      <c r="F63" s="51">
        <v>7921.0</v>
      </c>
      <c r="G63" s="51">
        <v>122199.0</v>
      </c>
      <c r="H63" s="51">
        <v>327222.0</v>
      </c>
      <c r="I63" s="51">
        <v>19192.0</v>
      </c>
      <c r="J63" s="51">
        <v>19327.0</v>
      </c>
      <c r="K63" s="51">
        <v>38700.0</v>
      </c>
      <c r="L63" s="51">
        <v>390.0</v>
      </c>
      <c r="M63" s="60">
        <f t="shared" si="1"/>
        <v>135</v>
      </c>
    </row>
    <row r="64">
      <c r="A64" s="43">
        <v>45667.34647796296</v>
      </c>
      <c r="B64" s="44">
        <v>45666.0</v>
      </c>
      <c r="C64" s="45" t="s">
        <v>11</v>
      </c>
      <c r="D64" s="46">
        <v>85627.0</v>
      </c>
      <c r="E64" s="46">
        <v>34214.0</v>
      </c>
      <c r="F64" s="46">
        <v>25443.0</v>
      </c>
      <c r="G64" s="58" t="s">
        <v>31</v>
      </c>
      <c r="H64" s="46">
        <v>2912.0</v>
      </c>
      <c r="I64" s="46">
        <v>50333.0</v>
      </c>
      <c r="J64" s="46">
        <v>50519.0</v>
      </c>
      <c r="K64" s="46">
        <v>24200.0</v>
      </c>
      <c r="L64" s="46">
        <v>353.0</v>
      </c>
      <c r="M64" s="59">
        <f t="shared" si="1"/>
        <v>186</v>
      </c>
    </row>
    <row r="65">
      <c r="A65" s="48">
        <v>45667.93294395834</v>
      </c>
      <c r="B65" s="49">
        <v>45667.0</v>
      </c>
      <c r="C65" s="50" t="s">
        <v>8</v>
      </c>
      <c r="D65" s="51">
        <v>92630.0</v>
      </c>
      <c r="E65" s="51">
        <v>53853.0</v>
      </c>
      <c r="F65" s="51">
        <v>27048.0</v>
      </c>
      <c r="G65" s="51">
        <v>561.0</v>
      </c>
      <c r="H65" s="51">
        <v>2045.0</v>
      </c>
      <c r="I65" s="51">
        <v>46601.0</v>
      </c>
      <c r="J65" s="51">
        <v>46770.0</v>
      </c>
      <c r="K65" s="51">
        <v>36500.0</v>
      </c>
      <c r="L65" s="51">
        <v>288.0</v>
      </c>
      <c r="M65" s="60">
        <f t="shared" si="1"/>
        <v>169</v>
      </c>
    </row>
    <row r="66">
      <c r="A66" s="43">
        <v>45667.94042038194</v>
      </c>
      <c r="B66" s="44">
        <v>45667.0</v>
      </c>
      <c r="C66" s="45" t="s">
        <v>9</v>
      </c>
      <c r="D66" s="46">
        <v>126869.0</v>
      </c>
      <c r="E66" s="46">
        <v>53890.0</v>
      </c>
      <c r="F66" s="46">
        <v>34946.0</v>
      </c>
      <c r="G66" s="46">
        <v>0.0</v>
      </c>
      <c r="H66" s="46">
        <v>0.0</v>
      </c>
      <c r="I66" s="46">
        <v>60339.0</v>
      </c>
      <c r="J66" s="46">
        <v>60578.0</v>
      </c>
      <c r="K66" s="46">
        <v>0.0</v>
      </c>
      <c r="L66" s="46">
        <v>690.0</v>
      </c>
      <c r="M66" s="59">
        <f t="shared" si="1"/>
        <v>239</v>
      </c>
    </row>
    <row r="67">
      <c r="A67" s="48">
        <v>45667.945013449076</v>
      </c>
      <c r="B67" s="49">
        <v>45667.0</v>
      </c>
      <c r="C67" s="50" t="s">
        <v>12</v>
      </c>
      <c r="D67" s="51">
        <v>54691.0</v>
      </c>
      <c r="E67" s="51">
        <v>30015.0</v>
      </c>
      <c r="F67" s="51">
        <v>10457.0</v>
      </c>
      <c r="G67" s="51">
        <v>1249.0</v>
      </c>
      <c r="H67" s="51">
        <v>584.0</v>
      </c>
      <c r="I67" s="51">
        <v>30795.0</v>
      </c>
      <c r="J67" s="51">
        <v>30919.0</v>
      </c>
      <c r="K67" s="56" t="s">
        <v>32</v>
      </c>
      <c r="L67" s="51">
        <v>80.0</v>
      </c>
      <c r="M67" s="60">
        <f t="shared" si="1"/>
        <v>124</v>
      </c>
    </row>
    <row r="68">
      <c r="A68" s="43">
        <v>45667.94765583333</v>
      </c>
      <c r="B68" s="44">
        <v>45667.0</v>
      </c>
      <c r="C68" s="45" t="s">
        <v>7</v>
      </c>
      <c r="D68" s="46">
        <v>276321.0</v>
      </c>
      <c r="E68" s="46">
        <v>135467.0</v>
      </c>
      <c r="F68" s="46">
        <v>56451.0</v>
      </c>
      <c r="G68" s="46">
        <v>7284.0</v>
      </c>
      <c r="H68" s="46">
        <v>0.0</v>
      </c>
      <c r="I68" s="46">
        <v>93519.0</v>
      </c>
      <c r="J68" s="46">
        <v>93878.0</v>
      </c>
      <c r="K68" s="46">
        <v>97500.0</v>
      </c>
      <c r="L68" s="46">
        <v>1131.0</v>
      </c>
      <c r="M68" s="59">
        <f t="shared" si="1"/>
        <v>359</v>
      </c>
    </row>
    <row r="69">
      <c r="A69" s="48">
        <v>45667.96123554398</v>
      </c>
      <c r="B69" s="49">
        <v>45667.0</v>
      </c>
      <c r="C69" s="50" t="s">
        <v>10</v>
      </c>
      <c r="D69" s="51">
        <v>117032.0</v>
      </c>
      <c r="E69" s="51">
        <v>55016.0</v>
      </c>
      <c r="F69" s="51">
        <v>27026.0</v>
      </c>
      <c r="G69" s="51">
        <v>4943.0</v>
      </c>
      <c r="H69" s="51">
        <v>4893.0</v>
      </c>
      <c r="I69" s="51">
        <v>60226.0</v>
      </c>
      <c r="J69" s="51">
        <v>60468.0</v>
      </c>
      <c r="K69" s="51">
        <v>35000.0</v>
      </c>
      <c r="L69" s="51">
        <v>1360.0</v>
      </c>
      <c r="M69" s="60">
        <f t="shared" si="1"/>
        <v>242</v>
      </c>
    </row>
    <row r="70">
      <c r="A70" s="43">
        <v>45668.499966874995</v>
      </c>
      <c r="B70" s="44">
        <v>45667.0</v>
      </c>
      <c r="C70" s="45" t="s">
        <v>11</v>
      </c>
      <c r="D70" s="46">
        <v>78239.0</v>
      </c>
      <c r="E70" s="46">
        <v>33368.0</v>
      </c>
      <c r="F70" s="46">
        <v>20388.0</v>
      </c>
      <c r="G70" s="46">
        <v>0.0</v>
      </c>
      <c r="H70" s="46">
        <v>2541.0</v>
      </c>
      <c r="I70" s="46">
        <v>50520.0</v>
      </c>
      <c r="J70" s="46">
        <v>50686.0</v>
      </c>
      <c r="K70" s="46">
        <v>24000.0</v>
      </c>
      <c r="L70" s="46">
        <v>290.0</v>
      </c>
      <c r="M70" s="59">
        <f t="shared" si="1"/>
        <v>166</v>
      </c>
    </row>
    <row r="71">
      <c r="A71" s="48">
        <v>45673.67841090278</v>
      </c>
      <c r="B71" s="49">
        <v>45667.0</v>
      </c>
      <c r="C71" s="50" t="s">
        <v>13</v>
      </c>
      <c r="D71" s="51">
        <v>325783.0</v>
      </c>
      <c r="E71" s="51">
        <v>38840.0</v>
      </c>
      <c r="F71" s="51">
        <v>12285.0</v>
      </c>
      <c r="G71" s="51">
        <v>226839.0</v>
      </c>
      <c r="H71" s="51">
        <v>338965.0</v>
      </c>
      <c r="I71" s="51">
        <v>19328.0</v>
      </c>
      <c r="J71" s="51">
        <v>19454.0</v>
      </c>
      <c r="K71" s="51">
        <v>0.0</v>
      </c>
      <c r="L71" s="51">
        <v>60.0</v>
      </c>
      <c r="M71" s="60">
        <f t="shared" si="1"/>
        <v>126</v>
      </c>
    </row>
    <row r="72">
      <c r="A72" s="43">
        <v>45668.93692179398</v>
      </c>
      <c r="B72" s="44">
        <v>45668.0</v>
      </c>
      <c r="C72" s="45" t="s">
        <v>8</v>
      </c>
      <c r="D72" s="46">
        <v>102780.0</v>
      </c>
      <c r="E72" s="46">
        <v>65983.0</v>
      </c>
      <c r="F72" s="46">
        <v>21980.0</v>
      </c>
      <c r="G72" s="46">
        <v>168.0</v>
      </c>
      <c r="H72" s="46">
        <v>16486.0</v>
      </c>
      <c r="I72" s="46">
        <v>46771.0</v>
      </c>
      <c r="J72" s="46">
        <v>46969.0</v>
      </c>
      <c r="K72" s="53"/>
      <c r="L72" s="46">
        <v>95.0</v>
      </c>
      <c r="M72" s="59">
        <f t="shared" si="1"/>
        <v>198</v>
      </c>
    </row>
    <row r="73">
      <c r="A73" s="48">
        <v>45668.94215861111</v>
      </c>
      <c r="B73" s="49">
        <v>45668.0</v>
      </c>
      <c r="C73" s="50" t="s">
        <v>12</v>
      </c>
      <c r="D73" s="51">
        <v>109912.0</v>
      </c>
      <c r="E73" s="51">
        <v>45713.0</v>
      </c>
      <c r="F73" s="51">
        <v>12954.0</v>
      </c>
      <c r="G73" s="51">
        <v>2265.0</v>
      </c>
      <c r="H73" s="51">
        <v>1592.0</v>
      </c>
      <c r="I73" s="51">
        <v>30920.0</v>
      </c>
      <c r="J73" s="51">
        <v>31073.0</v>
      </c>
      <c r="K73" s="56" t="s">
        <v>32</v>
      </c>
      <c r="L73" s="51">
        <v>119.0</v>
      </c>
      <c r="M73" s="60">
        <f t="shared" si="1"/>
        <v>153</v>
      </c>
    </row>
    <row r="74">
      <c r="A74" s="43">
        <v>45668.94632873843</v>
      </c>
      <c r="B74" s="44">
        <v>45668.0</v>
      </c>
      <c r="C74" s="45" t="s">
        <v>7</v>
      </c>
      <c r="D74" s="46">
        <v>371985.0</v>
      </c>
      <c r="E74" s="46">
        <v>133824.0</v>
      </c>
      <c r="F74" s="46">
        <v>87858.0</v>
      </c>
      <c r="G74" s="46">
        <v>20983.0</v>
      </c>
      <c r="H74" s="46">
        <v>0.0</v>
      </c>
      <c r="I74" s="46">
        <v>93879.0</v>
      </c>
      <c r="J74" s="46">
        <v>94302.0</v>
      </c>
      <c r="K74" s="46">
        <v>0.0</v>
      </c>
      <c r="L74" s="46">
        <v>7099.0</v>
      </c>
      <c r="M74" s="59">
        <f t="shared" si="1"/>
        <v>423</v>
      </c>
    </row>
    <row r="75">
      <c r="A75" s="48">
        <v>45668.95957652778</v>
      </c>
      <c r="B75" s="49">
        <v>45668.0</v>
      </c>
      <c r="C75" s="50" t="s">
        <v>10</v>
      </c>
      <c r="D75" s="51">
        <v>114160.0</v>
      </c>
      <c r="E75" s="51">
        <v>65612.0</v>
      </c>
      <c r="F75" s="51">
        <v>22365.0</v>
      </c>
      <c r="G75" s="51">
        <v>2394.0</v>
      </c>
      <c r="H75" s="51">
        <v>3311.0</v>
      </c>
      <c r="I75" s="51">
        <v>60469.0</v>
      </c>
      <c r="J75" s="51">
        <v>60729.0</v>
      </c>
      <c r="K75" s="51">
        <v>0.0</v>
      </c>
      <c r="L75" s="51">
        <v>50.0</v>
      </c>
      <c r="M75" s="60">
        <f t="shared" si="1"/>
        <v>260</v>
      </c>
    </row>
    <row r="76">
      <c r="A76" s="43">
        <v>45668.97528128472</v>
      </c>
      <c r="B76" s="44">
        <v>45668.0</v>
      </c>
      <c r="C76" s="45" t="s">
        <v>13</v>
      </c>
      <c r="D76" s="46">
        <v>198220.0</v>
      </c>
      <c r="E76" s="46">
        <v>37572.0</v>
      </c>
      <c r="F76" s="46">
        <v>5755.0</v>
      </c>
      <c r="G76" s="46">
        <v>127291.0</v>
      </c>
      <c r="H76" s="46">
        <v>365547.0</v>
      </c>
      <c r="I76" s="46">
        <v>19455.0</v>
      </c>
      <c r="J76" s="46">
        <v>19582.0</v>
      </c>
      <c r="K76" s="53"/>
      <c r="L76" s="46">
        <v>160.0</v>
      </c>
      <c r="M76" s="59">
        <f t="shared" si="1"/>
        <v>127</v>
      </c>
    </row>
    <row r="77">
      <c r="A77" s="48">
        <v>45669.39816460648</v>
      </c>
      <c r="B77" s="49">
        <v>45668.0</v>
      </c>
      <c r="C77" s="50" t="s">
        <v>11</v>
      </c>
      <c r="D77" s="51">
        <v>88795.0</v>
      </c>
      <c r="E77" s="51">
        <v>32928.0</v>
      </c>
      <c r="F77" s="51">
        <v>15473.0</v>
      </c>
      <c r="G77" s="51">
        <v>1671.0</v>
      </c>
      <c r="H77" s="51">
        <v>2832.0</v>
      </c>
      <c r="I77" s="51">
        <v>50687.0</v>
      </c>
      <c r="J77" s="51">
        <v>50896.0</v>
      </c>
      <c r="K77" s="51">
        <v>0.0</v>
      </c>
      <c r="L77" s="51">
        <v>364.0</v>
      </c>
      <c r="M77" s="60">
        <f t="shared" si="1"/>
        <v>209</v>
      </c>
    </row>
    <row r="78">
      <c r="A78" s="43">
        <v>45669.451863553244</v>
      </c>
      <c r="B78" s="44">
        <v>45668.0</v>
      </c>
      <c r="C78" s="45" t="s">
        <v>9</v>
      </c>
      <c r="D78" s="46">
        <v>141676.0</v>
      </c>
      <c r="E78" s="46">
        <v>163241.0</v>
      </c>
      <c r="F78" s="46">
        <v>22182.0</v>
      </c>
      <c r="G78" s="46">
        <v>138.0</v>
      </c>
      <c r="H78" s="58" t="s">
        <v>31</v>
      </c>
      <c r="I78" s="46">
        <v>60579.0</v>
      </c>
      <c r="J78" s="46">
        <v>60794.0</v>
      </c>
      <c r="K78" s="58" t="s">
        <v>31</v>
      </c>
      <c r="L78" s="46">
        <v>920.0</v>
      </c>
      <c r="M78" s="59">
        <f t="shared" si="1"/>
        <v>215</v>
      </c>
    </row>
    <row r="79">
      <c r="A79" s="48">
        <v>45669.929660243055</v>
      </c>
      <c r="B79" s="49">
        <v>45669.0</v>
      </c>
      <c r="C79" s="50" t="s">
        <v>8</v>
      </c>
      <c r="D79" s="51">
        <v>106749.0</v>
      </c>
      <c r="E79" s="51">
        <v>52796.0</v>
      </c>
      <c r="F79" s="51">
        <v>25963.0</v>
      </c>
      <c r="G79" s="55"/>
      <c r="H79" s="51">
        <v>1451.0</v>
      </c>
      <c r="I79" s="51">
        <v>46970.0</v>
      </c>
      <c r="J79" s="51">
        <v>47159.0</v>
      </c>
      <c r="K79" s="55"/>
      <c r="L79" s="51">
        <v>70.0</v>
      </c>
      <c r="M79" s="60">
        <f t="shared" si="1"/>
        <v>189</v>
      </c>
    </row>
    <row r="80">
      <c r="A80" s="43">
        <v>45669.9353417824</v>
      </c>
      <c r="B80" s="44">
        <v>45669.0</v>
      </c>
      <c r="C80" s="45" t="s">
        <v>9</v>
      </c>
      <c r="D80" s="46">
        <v>85209.0</v>
      </c>
      <c r="E80" s="46">
        <v>42912.0</v>
      </c>
      <c r="F80" s="46">
        <v>19953.0</v>
      </c>
      <c r="G80" s="46">
        <v>0.0</v>
      </c>
      <c r="H80" s="46">
        <v>0.0</v>
      </c>
      <c r="I80" s="46">
        <v>60795.0</v>
      </c>
      <c r="J80" s="46">
        <v>60972.0</v>
      </c>
      <c r="K80" s="46">
        <v>0.0</v>
      </c>
      <c r="L80" s="46">
        <v>340.0</v>
      </c>
      <c r="M80" s="59">
        <f t="shared" si="1"/>
        <v>177</v>
      </c>
    </row>
    <row r="81">
      <c r="A81" s="48">
        <v>45669.938854120366</v>
      </c>
      <c r="B81" s="49">
        <v>45669.0</v>
      </c>
      <c r="C81" s="50" t="s">
        <v>12</v>
      </c>
      <c r="D81" s="51">
        <v>71894.0</v>
      </c>
      <c r="E81" s="51">
        <v>39544.0</v>
      </c>
      <c r="F81" s="51">
        <v>12731.0</v>
      </c>
      <c r="G81" s="51">
        <v>0.0</v>
      </c>
      <c r="H81" s="51">
        <v>1058.0</v>
      </c>
      <c r="I81" s="51">
        <v>31074.0</v>
      </c>
      <c r="J81" s="51">
        <v>31229.0</v>
      </c>
      <c r="K81" s="51">
        <v>0.0</v>
      </c>
      <c r="L81" s="51">
        <v>268.0</v>
      </c>
      <c r="M81" s="60">
        <f t="shared" si="1"/>
        <v>155</v>
      </c>
    </row>
    <row r="82">
      <c r="A82" s="43">
        <v>45669.954373773144</v>
      </c>
      <c r="B82" s="44">
        <v>45669.0</v>
      </c>
      <c r="C82" s="45" t="s">
        <v>10</v>
      </c>
      <c r="D82" s="46">
        <v>108607.0</v>
      </c>
      <c r="E82" s="46">
        <v>53041.0</v>
      </c>
      <c r="F82" s="46">
        <v>32131.0</v>
      </c>
      <c r="G82" s="46">
        <v>0.0</v>
      </c>
      <c r="H82" s="46">
        <v>4033.0</v>
      </c>
      <c r="I82" s="46">
        <v>60730.0</v>
      </c>
      <c r="J82" s="46">
        <v>60935.0</v>
      </c>
      <c r="K82" s="46">
        <v>0.0</v>
      </c>
      <c r="L82" s="46">
        <v>100.0</v>
      </c>
      <c r="M82" s="59">
        <f t="shared" si="1"/>
        <v>205</v>
      </c>
    </row>
    <row r="83">
      <c r="A83" s="48">
        <v>45670.483171087966</v>
      </c>
      <c r="B83" s="49">
        <v>45669.0</v>
      </c>
      <c r="C83" s="50" t="s">
        <v>11</v>
      </c>
      <c r="D83" s="51">
        <v>96717.0</v>
      </c>
      <c r="E83" s="51">
        <v>53151.0</v>
      </c>
      <c r="F83" s="51">
        <v>19113.0</v>
      </c>
      <c r="G83" s="51">
        <v>0.0</v>
      </c>
      <c r="H83" s="51">
        <v>0.0</v>
      </c>
      <c r="I83" s="51">
        <v>50897.0</v>
      </c>
      <c r="J83" s="51">
        <v>51039.0</v>
      </c>
      <c r="K83" s="51">
        <v>0.0</v>
      </c>
      <c r="L83" s="51">
        <v>280.0</v>
      </c>
      <c r="M83" s="60">
        <f t="shared" si="1"/>
        <v>142</v>
      </c>
    </row>
    <row r="84">
      <c r="A84" s="43">
        <v>45670.50944902778</v>
      </c>
      <c r="B84" s="44">
        <v>45669.0</v>
      </c>
      <c r="C84" s="45" t="s">
        <v>7</v>
      </c>
      <c r="D84" s="46">
        <v>237163.0</v>
      </c>
      <c r="E84" s="46">
        <v>152191.0</v>
      </c>
      <c r="F84" s="46">
        <v>26746.0</v>
      </c>
      <c r="G84" s="46">
        <v>12277.0</v>
      </c>
      <c r="H84" s="46">
        <v>0.0</v>
      </c>
      <c r="I84" s="46">
        <v>94303.0</v>
      </c>
      <c r="J84" s="46">
        <v>94652.0</v>
      </c>
      <c r="K84" s="46">
        <v>0.0</v>
      </c>
      <c r="L84" s="46">
        <v>902.0</v>
      </c>
      <c r="M84" s="59">
        <f t="shared" si="1"/>
        <v>349</v>
      </c>
    </row>
    <row r="85">
      <c r="A85" s="48">
        <v>45673.673280717594</v>
      </c>
      <c r="B85" s="49">
        <v>45669.0</v>
      </c>
      <c r="C85" s="50" t="s">
        <v>13</v>
      </c>
      <c r="D85" s="51">
        <v>218978.0</v>
      </c>
      <c r="E85" s="51">
        <v>12807.0</v>
      </c>
      <c r="F85" s="51">
        <v>420.0</v>
      </c>
      <c r="G85" s="51">
        <v>197221.0</v>
      </c>
      <c r="H85" s="51">
        <v>332626.0</v>
      </c>
      <c r="I85" s="51">
        <v>19583.0</v>
      </c>
      <c r="J85" s="51">
        <v>19628.0</v>
      </c>
      <c r="K85" s="51">
        <v>0.0</v>
      </c>
      <c r="L85" s="51">
        <v>210.0</v>
      </c>
      <c r="M85" s="60">
        <f t="shared" si="1"/>
        <v>45</v>
      </c>
    </row>
    <row r="86">
      <c r="A86" s="43">
        <v>45670.92482484954</v>
      </c>
      <c r="B86" s="44">
        <v>45670.0</v>
      </c>
      <c r="C86" s="45" t="s">
        <v>8</v>
      </c>
      <c r="D86" s="46">
        <v>81293.0</v>
      </c>
      <c r="E86" s="46">
        <v>29478.0</v>
      </c>
      <c r="F86" s="46">
        <v>11482.0</v>
      </c>
      <c r="G86" s="53"/>
      <c r="H86" s="46">
        <v>14043.0</v>
      </c>
      <c r="I86" s="46">
        <v>47160.0</v>
      </c>
      <c r="J86" s="46">
        <v>47326.0</v>
      </c>
      <c r="K86" s="46">
        <v>112000.0</v>
      </c>
      <c r="L86" s="46">
        <v>420.0</v>
      </c>
      <c r="M86" s="59">
        <f t="shared" si="1"/>
        <v>166</v>
      </c>
    </row>
    <row r="87">
      <c r="A87" s="48">
        <v>45670.92920262732</v>
      </c>
      <c r="B87" s="49">
        <v>45670.0</v>
      </c>
      <c r="C87" s="50" t="s">
        <v>7</v>
      </c>
      <c r="D87" s="51">
        <v>262620.0</v>
      </c>
      <c r="E87" s="51">
        <v>118042.0</v>
      </c>
      <c r="F87" s="51">
        <v>44744.0</v>
      </c>
      <c r="G87" s="51">
        <v>17859.0</v>
      </c>
      <c r="H87" s="51">
        <v>0.0</v>
      </c>
      <c r="I87" s="51">
        <v>94653.0</v>
      </c>
      <c r="J87" s="51">
        <v>95005.0</v>
      </c>
      <c r="K87" s="51">
        <v>212300.0</v>
      </c>
      <c r="L87" s="51">
        <v>720.0</v>
      </c>
      <c r="M87" s="60">
        <f t="shared" si="1"/>
        <v>352</v>
      </c>
    </row>
    <row r="88">
      <c r="A88" s="43">
        <v>45670.94036717592</v>
      </c>
      <c r="B88" s="44">
        <v>45670.0</v>
      </c>
      <c r="C88" s="45" t="s">
        <v>12</v>
      </c>
      <c r="D88" s="46">
        <v>58243.0</v>
      </c>
      <c r="E88" s="46">
        <v>35903.0</v>
      </c>
      <c r="F88" s="46">
        <v>6328.0</v>
      </c>
      <c r="G88" s="58" t="s">
        <v>32</v>
      </c>
      <c r="H88" s="46">
        <v>1021.0</v>
      </c>
      <c r="I88" s="46">
        <v>31230.0</v>
      </c>
      <c r="J88" s="46">
        <v>31351.0</v>
      </c>
      <c r="K88" s="58" t="s">
        <v>34</v>
      </c>
      <c r="L88" s="46">
        <v>88.0</v>
      </c>
      <c r="M88" s="59">
        <f t="shared" si="1"/>
        <v>121</v>
      </c>
    </row>
    <row r="89">
      <c r="A89" s="48">
        <v>45670.948419305554</v>
      </c>
      <c r="B89" s="49">
        <v>45670.0</v>
      </c>
      <c r="C89" s="50" t="s">
        <v>11</v>
      </c>
      <c r="D89" s="51">
        <v>73990.0</v>
      </c>
      <c r="E89" s="51">
        <v>32446.0</v>
      </c>
      <c r="F89" s="51">
        <v>20576.0</v>
      </c>
      <c r="G89" s="51">
        <v>180.0</v>
      </c>
      <c r="H89" s="51">
        <v>1565.0</v>
      </c>
      <c r="I89" s="51">
        <v>51094.0</v>
      </c>
      <c r="J89" s="51">
        <v>51285.0</v>
      </c>
      <c r="K89" s="51">
        <v>63000.0</v>
      </c>
      <c r="L89" s="51">
        <v>300.0</v>
      </c>
      <c r="M89" s="60">
        <f t="shared" si="1"/>
        <v>191</v>
      </c>
    </row>
    <row r="90">
      <c r="A90" s="43">
        <v>45670.95333790509</v>
      </c>
      <c r="B90" s="44">
        <v>45670.0</v>
      </c>
      <c r="C90" s="45" t="s">
        <v>10</v>
      </c>
      <c r="D90" s="46">
        <v>116338.0</v>
      </c>
      <c r="E90" s="46">
        <v>57073.0</v>
      </c>
      <c r="F90" s="46">
        <v>19307.0</v>
      </c>
      <c r="G90" s="46">
        <v>0.0</v>
      </c>
      <c r="H90" s="46">
        <v>7555.0</v>
      </c>
      <c r="I90" s="46">
        <v>60936.0</v>
      </c>
      <c r="J90" s="46">
        <v>61182.0</v>
      </c>
      <c r="K90" s="46">
        <v>95000.0</v>
      </c>
      <c r="L90" s="46">
        <v>200.0</v>
      </c>
      <c r="M90" s="59">
        <f t="shared" si="1"/>
        <v>246</v>
      </c>
    </row>
    <row r="91">
      <c r="A91" s="48">
        <v>45671.47990118056</v>
      </c>
      <c r="B91" s="49">
        <v>45670.0</v>
      </c>
      <c r="C91" s="50" t="s">
        <v>9</v>
      </c>
      <c r="D91" s="51">
        <v>114854.0</v>
      </c>
      <c r="E91" s="51">
        <v>52750.0</v>
      </c>
      <c r="F91" s="51">
        <v>20477.0</v>
      </c>
      <c r="G91" s="51">
        <v>0.0</v>
      </c>
      <c r="H91" s="51">
        <v>0.0</v>
      </c>
      <c r="I91" s="51">
        <v>60973.0</v>
      </c>
      <c r="J91" s="51">
        <v>61159.0</v>
      </c>
      <c r="K91" s="51">
        <v>75500.0</v>
      </c>
      <c r="L91" s="51">
        <v>380.0</v>
      </c>
      <c r="M91" s="60">
        <f t="shared" si="1"/>
        <v>186</v>
      </c>
    </row>
    <row r="92">
      <c r="A92" s="43">
        <v>45673.671647152776</v>
      </c>
      <c r="B92" s="44">
        <v>45670.0</v>
      </c>
      <c r="C92" s="45" t="s">
        <v>13</v>
      </c>
      <c r="D92" s="46">
        <v>211023.0</v>
      </c>
      <c r="E92" s="46">
        <v>25047.0</v>
      </c>
      <c r="F92" s="46">
        <v>11983.0</v>
      </c>
      <c r="G92" s="46">
        <v>138792.0</v>
      </c>
      <c r="H92" s="46">
        <v>361206.0</v>
      </c>
      <c r="I92" s="46">
        <v>19629.0</v>
      </c>
      <c r="J92" s="46">
        <v>19759.0</v>
      </c>
      <c r="K92" s="46">
        <v>0.0</v>
      </c>
      <c r="L92" s="46">
        <v>65.0</v>
      </c>
      <c r="M92" s="59">
        <f t="shared" si="1"/>
        <v>130</v>
      </c>
    </row>
    <row r="93">
      <c r="A93" s="48">
        <v>45671.908226631946</v>
      </c>
      <c r="B93" s="49">
        <v>45671.0</v>
      </c>
      <c r="C93" s="50" t="s">
        <v>7</v>
      </c>
      <c r="D93" s="51">
        <v>139855.0</v>
      </c>
      <c r="E93" s="51">
        <v>65329.0</v>
      </c>
      <c r="F93" s="51">
        <v>28484.0</v>
      </c>
      <c r="G93" s="51">
        <v>6509.0</v>
      </c>
      <c r="H93" s="51">
        <v>0.0</v>
      </c>
      <c r="I93" s="51">
        <v>95006.0</v>
      </c>
      <c r="J93" s="51">
        <v>95216.0</v>
      </c>
      <c r="K93" s="51">
        <v>0.0</v>
      </c>
      <c r="L93" s="51">
        <v>453.0</v>
      </c>
      <c r="M93" s="60">
        <f t="shared" si="1"/>
        <v>210</v>
      </c>
    </row>
    <row r="94">
      <c r="A94" s="43">
        <v>45671.91283731481</v>
      </c>
      <c r="B94" s="44">
        <v>45671.0</v>
      </c>
      <c r="C94" s="45" t="s">
        <v>8</v>
      </c>
      <c r="D94" s="46">
        <v>49472.0</v>
      </c>
      <c r="E94" s="46">
        <v>25393.0</v>
      </c>
      <c r="F94" s="46">
        <v>11246.0</v>
      </c>
      <c r="G94" s="53"/>
      <c r="H94" s="46">
        <v>2692.0</v>
      </c>
      <c r="I94" s="46">
        <v>47327.0</v>
      </c>
      <c r="J94" s="46">
        <v>47449.0</v>
      </c>
      <c r="K94" s="53"/>
      <c r="L94" s="46">
        <v>250.0</v>
      </c>
      <c r="M94" s="59">
        <f t="shared" si="1"/>
        <v>122</v>
      </c>
    </row>
    <row r="95">
      <c r="A95" s="48">
        <v>45671.924504027775</v>
      </c>
      <c r="B95" s="49">
        <v>45671.0</v>
      </c>
      <c r="C95" s="50" t="s">
        <v>9</v>
      </c>
      <c r="D95" s="51">
        <v>71865.0</v>
      </c>
      <c r="E95" s="51">
        <v>38941.0</v>
      </c>
      <c r="F95" s="51">
        <v>27304.0</v>
      </c>
      <c r="G95" s="51">
        <v>0.0</v>
      </c>
      <c r="H95" s="51">
        <v>0.0</v>
      </c>
      <c r="I95" s="51">
        <v>61160.0</v>
      </c>
      <c r="J95" s="51">
        <v>61303.0</v>
      </c>
      <c r="K95" s="51">
        <v>0.0</v>
      </c>
      <c r="L95" s="51">
        <v>350.0</v>
      </c>
      <c r="M95" s="60">
        <f t="shared" si="1"/>
        <v>143</v>
      </c>
    </row>
    <row r="96">
      <c r="A96" s="43">
        <v>45671.94098539352</v>
      </c>
      <c r="B96" s="44">
        <v>45671.0</v>
      </c>
      <c r="C96" s="45" t="s">
        <v>12</v>
      </c>
      <c r="D96" s="46">
        <v>50695.0</v>
      </c>
      <c r="E96" s="46">
        <v>27780.0</v>
      </c>
      <c r="F96" s="46">
        <v>5696.0</v>
      </c>
      <c r="G96" s="58" t="s">
        <v>32</v>
      </c>
      <c r="H96" s="46">
        <v>861.0</v>
      </c>
      <c r="I96" s="46">
        <v>31352.0</v>
      </c>
      <c r="J96" s="46">
        <v>31458.0</v>
      </c>
      <c r="K96" s="58" t="s">
        <v>32</v>
      </c>
      <c r="L96" s="46">
        <v>105.0</v>
      </c>
      <c r="M96" s="59">
        <f t="shared" si="1"/>
        <v>106</v>
      </c>
    </row>
    <row r="97">
      <c r="A97" s="48">
        <v>45671.95084077546</v>
      </c>
      <c r="B97" s="49">
        <v>45671.0</v>
      </c>
      <c r="C97" s="50" t="s">
        <v>10</v>
      </c>
      <c r="D97" s="51">
        <v>88442.0</v>
      </c>
      <c r="E97" s="51">
        <v>38472.07</v>
      </c>
      <c r="F97" s="51">
        <v>29675.0</v>
      </c>
      <c r="G97" s="51">
        <v>0.0</v>
      </c>
      <c r="H97" s="51">
        <v>456.0</v>
      </c>
      <c r="I97" s="51">
        <v>61183.0</v>
      </c>
      <c r="J97" s="51">
        <v>61380.0</v>
      </c>
      <c r="K97" s="51">
        <v>0.0</v>
      </c>
      <c r="L97" s="51">
        <v>1300.0</v>
      </c>
      <c r="M97" s="60">
        <f t="shared" si="1"/>
        <v>197</v>
      </c>
    </row>
    <row r="98">
      <c r="A98" s="43">
        <v>45672.3643833449</v>
      </c>
      <c r="B98" s="44">
        <v>45671.0</v>
      </c>
      <c r="C98" s="45" t="s">
        <v>11</v>
      </c>
      <c r="D98" s="46">
        <v>46373.0</v>
      </c>
      <c r="E98" s="46">
        <v>24280.0</v>
      </c>
      <c r="F98" s="46">
        <v>5939.0</v>
      </c>
      <c r="G98" s="46">
        <v>0.0</v>
      </c>
      <c r="H98" s="46">
        <v>382.0</v>
      </c>
      <c r="I98" s="46">
        <v>51286.0</v>
      </c>
      <c r="J98" s="46">
        <v>51429.0</v>
      </c>
      <c r="K98" s="46">
        <v>0.0</v>
      </c>
      <c r="L98" s="46">
        <v>80.0</v>
      </c>
      <c r="M98" s="59">
        <f t="shared" si="1"/>
        <v>143</v>
      </c>
    </row>
    <row r="99">
      <c r="A99" s="48">
        <v>45673.66954645833</v>
      </c>
      <c r="B99" s="49">
        <v>45671.0</v>
      </c>
      <c r="C99" s="50" t="s">
        <v>13</v>
      </c>
      <c r="D99" s="51">
        <v>42792.0</v>
      </c>
      <c r="E99" s="51">
        <v>19252.0</v>
      </c>
      <c r="F99" s="51">
        <v>3357.0</v>
      </c>
      <c r="G99" s="51">
        <v>0.0</v>
      </c>
      <c r="H99" s="51">
        <v>301539.0</v>
      </c>
      <c r="I99" s="51">
        <v>19760.0</v>
      </c>
      <c r="J99" s="51">
        <v>19846.0</v>
      </c>
      <c r="K99" s="51">
        <v>0.0</v>
      </c>
      <c r="L99" s="51">
        <v>200.0</v>
      </c>
      <c r="M99" s="60">
        <f t="shared" si="1"/>
        <v>86</v>
      </c>
    </row>
    <row r="100">
      <c r="A100" s="43">
        <v>45672.921296354165</v>
      </c>
      <c r="B100" s="44">
        <v>45672.0</v>
      </c>
      <c r="C100" s="45" t="s">
        <v>8</v>
      </c>
      <c r="D100" s="46">
        <v>76544.0</v>
      </c>
      <c r="E100" s="46">
        <v>33812.0</v>
      </c>
      <c r="F100" s="46">
        <v>5652.0</v>
      </c>
      <c r="G100" s="46">
        <v>14603.0</v>
      </c>
      <c r="H100" s="46">
        <v>5974.0</v>
      </c>
      <c r="I100" s="46">
        <v>47450.0</v>
      </c>
      <c r="J100" s="46">
        <v>47586.0</v>
      </c>
      <c r="K100" s="46">
        <v>56000.0</v>
      </c>
      <c r="L100" s="46">
        <v>270.0</v>
      </c>
      <c r="M100" s="59">
        <f t="shared" si="1"/>
        <v>136</v>
      </c>
    </row>
    <row r="101">
      <c r="A101" s="48">
        <v>45672.939758645836</v>
      </c>
      <c r="B101" s="49">
        <v>45672.0</v>
      </c>
      <c r="C101" s="50" t="s">
        <v>12</v>
      </c>
      <c r="D101" s="51">
        <v>60925.0</v>
      </c>
      <c r="E101" s="51">
        <v>47304.0</v>
      </c>
      <c r="F101" s="51">
        <v>3062.0</v>
      </c>
      <c r="G101" s="51">
        <v>1285.0</v>
      </c>
      <c r="H101" s="51">
        <v>1730.0</v>
      </c>
      <c r="I101" s="51">
        <v>31459.0</v>
      </c>
      <c r="J101" s="51">
        <v>31578.0</v>
      </c>
      <c r="K101" s="51">
        <v>34000.0</v>
      </c>
      <c r="L101" s="51">
        <v>102.0</v>
      </c>
      <c r="M101" s="60">
        <f t="shared" si="1"/>
        <v>119</v>
      </c>
    </row>
    <row r="102">
      <c r="A102" s="43">
        <v>45672.94276873843</v>
      </c>
      <c r="B102" s="44">
        <v>45672.0</v>
      </c>
      <c r="C102" s="45" t="s">
        <v>11</v>
      </c>
      <c r="D102" s="46">
        <v>69851.0</v>
      </c>
      <c r="E102" s="46">
        <v>39398.0</v>
      </c>
      <c r="F102" s="46">
        <v>8126.0</v>
      </c>
      <c r="G102" s="46">
        <v>253.0</v>
      </c>
      <c r="H102" s="46">
        <v>3432.0</v>
      </c>
      <c r="I102" s="46">
        <v>51430.0</v>
      </c>
      <c r="J102" s="46">
        <v>51597.0</v>
      </c>
      <c r="K102" s="46">
        <v>37000.0</v>
      </c>
      <c r="L102" s="46">
        <v>80.0</v>
      </c>
      <c r="M102" s="59">
        <f t="shared" si="1"/>
        <v>167</v>
      </c>
    </row>
    <row r="103">
      <c r="A103" s="48">
        <v>45672.946142175926</v>
      </c>
      <c r="B103" s="49">
        <v>45672.0</v>
      </c>
      <c r="C103" s="50" t="s">
        <v>7</v>
      </c>
      <c r="D103" s="51">
        <v>231191.0</v>
      </c>
      <c r="E103" s="51">
        <v>84048.0</v>
      </c>
      <c r="F103" s="51">
        <v>53610.0</v>
      </c>
      <c r="G103" s="51">
        <v>8540.0</v>
      </c>
      <c r="H103" s="51">
        <v>0.0</v>
      </c>
      <c r="I103" s="51">
        <v>95217.0</v>
      </c>
      <c r="J103" s="51">
        <v>95562.0</v>
      </c>
      <c r="K103" s="55"/>
      <c r="L103" s="51">
        <v>316.0</v>
      </c>
      <c r="M103" s="60">
        <f t="shared" si="1"/>
        <v>345</v>
      </c>
    </row>
    <row r="104">
      <c r="A104" s="43">
        <v>45672.953747141204</v>
      </c>
      <c r="B104" s="44">
        <v>45672.0</v>
      </c>
      <c r="C104" s="45" t="s">
        <v>10</v>
      </c>
      <c r="D104" s="46">
        <v>123040.0</v>
      </c>
      <c r="E104" s="46">
        <v>51515.0</v>
      </c>
      <c r="F104" s="46">
        <v>27442.0</v>
      </c>
      <c r="G104" s="46">
        <v>1986.0</v>
      </c>
      <c r="H104" s="46">
        <v>3301.0</v>
      </c>
      <c r="I104" s="46">
        <v>61381.0</v>
      </c>
      <c r="J104" s="46">
        <v>61585.0</v>
      </c>
      <c r="K104" s="46">
        <v>50000.0</v>
      </c>
      <c r="L104" s="46">
        <v>80.0</v>
      </c>
      <c r="M104" s="59">
        <f t="shared" si="1"/>
        <v>204</v>
      </c>
    </row>
    <row r="105">
      <c r="A105" s="48">
        <v>45673.361767291666</v>
      </c>
      <c r="B105" s="49">
        <v>45672.0</v>
      </c>
      <c r="C105" s="50" t="s">
        <v>9</v>
      </c>
      <c r="D105" s="51">
        <v>81786.0</v>
      </c>
      <c r="E105" s="51">
        <v>50749.0</v>
      </c>
      <c r="F105" s="51">
        <v>9868.0</v>
      </c>
      <c r="G105" s="51">
        <v>2459.0</v>
      </c>
      <c r="H105" s="51">
        <v>0.0</v>
      </c>
      <c r="I105" s="51">
        <v>61304.0</v>
      </c>
      <c r="J105" s="51">
        <v>61473.0</v>
      </c>
      <c r="K105" s="51">
        <v>0.0</v>
      </c>
      <c r="L105" s="51">
        <v>350.0</v>
      </c>
      <c r="M105" s="60">
        <f t="shared" si="1"/>
        <v>169</v>
      </c>
    </row>
    <row r="106">
      <c r="A106" s="43">
        <v>45673.66591814815</v>
      </c>
      <c r="B106" s="44">
        <v>45672.0</v>
      </c>
      <c r="C106" s="45" t="s">
        <v>13</v>
      </c>
      <c r="D106" s="46">
        <v>293157.0</v>
      </c>
      <c r="E106" s="46">
        <v>34769.0</v>
      </c>
      <c r="F106" s="46">
        <v>8471.0</v>
      </c>
      <c r="G106" s="46">
        <v>201818.0</v>
      </c>
      <c r="H106" s="46">
        <v>214919.0</v>
      </c>
      <c r="I106" s="46">
        <v>19847.0</v>
      </c>
      <c r="J106" s="46">
        <v>19980.0</v>
      </c>
      <c r="K106" s="53"/>
      <c r="L106" s="46">
        <v>215.0</v>
      </c>
      <c r="M106" s="59">
        <f t="shared" si="1"/>
        <v>133</v>
      </c>
    </row>
    <row r="107">
      <c r="A107" s="48">
        <v>45673.9255894213</v>
      </c>
      <c r="B107" s="49">
        <v>45673.0</v>
      </c>
      <c r="C107" s="50" t="s">
        <v>8</v>
      </c>
      <c r="D107" s="51">
        <v>94450.0</v>
      </c>
      <c r="E107" s="51">
        <v>42748.0</v>
      </c>
      <c r="F107" s="51">
        <v>25911.0</v>
      </c>
      <c r="G107" s="55"/>
      <c r="H107" s="51">
        <v>946.0</v>
      </c>
      <c r="I107" s="51">
        <v>47587.0</v>
      </c>
      <c r="J107" s="51">
        <v>47751.0</v>
      </c>
      <c r="K107" s="51">
        <v>19500.0</v>
      </c>
      <c r="L107" s="51">
        <v>100.0</v>
      </c>
      <c r="M107" s="60">
        <f t="shared" si="1"/>
        <v>164</v>
      </c>
    </row>
    <row r="108">
      <c r="A108" s="43">
        <v>45673.93160748843</v>
      </c>
      <c r="B108" s="44">
        <v>45673.0</v>
      </c>
      <c r="C108" s="45" t="s">
        <v>7</v>
      </c>
      <c r="D108" s="46">
        <v>281278.0</v>
      </c>
      <c r="E108" s="46">
        <v>120263.0</v>
      </c>
      <c r="F108" s="46">
        <v>47271.0</v>
      </c>
      <c r="G108" s="46">
        <v>21297.0</v>
      </c>
      <c r="H108" s="46">
        <v>0.0</v>
      </c>
      <c r="I108" s="46">
        <v>95563.0</v>
      </c>
      <c r="J108" s="46">
        <v>95970.0</v>
      </c>
      <c r="K108" s="46">
        <v>86700.0</v>
      </c>
      <c r="L108" s="46">
        <v>667.0</v>
      </c>
      <c r="M108" s="59">
        <f t="shared" si="1"/>
        <v>407</v>
      </c>
    </row>
    <row r="109">
      <c r="A109" s="48">
        <v>45673.932737951385</v>
      </c>
      <c r="B109" s="49">
        <v>45673.0</v>
      </c>
      <c r="C109" s="50" t="s">
        <v>9</v>
      </c>
      <c r="D109" s="51">
        <v>127595.0</v>
      </c>
      <c r="E109" s="51">
        <v>60648.0</v>
      </c>
      <c r="F109" s="51">
        <v>26970.0</v>
      </c>
      <c r="G109" s="51">
        <v>0.0</v>
      </c>
      <c r="H109" s="51">
        <v>0.0</v>
      </c>
      <c r="I109" s="51">
        <v>61474.0</v>
      </c>
      <c r="J109" s="51">
        <v>61681.0</v>
      </c>
      <c r="K109" s="51">
        <v>0.0</v>
      </c>
      <c r="L109" s="51">
        <v>400.0</v>
      </c>
      <c r="M109" s="60">
        <f t="shared" si="1"/>
        <v>207</v>
      </c>
    </row>
    <row r="110">
      <c r="A110" s="43">
        <v>45673.93977556713</v>
      </c>
      <c r="B110" s="44">
        <v>45673.0</v>
      </c>
      <c r="C110" s="45" t="s">
        <v>12</v>
      </c>
      <c r="D110" s="46">
        <v>52140.0</v>
      </c>
      <c r="E110" s="46">
        <v>18315.0</v>
      </c>
      <c r="F110" s="46">
        <v>6489.0</v>
      </c>
      <c r="G110" s="46">
        <v>0.0</v>
      </c>
      <c r="H110" s="46">
        <v>2167.0</v>
      </c>
      <c r="I110" s="46">
        <v>31579.0</v>
      </c>
      <c r="J110" s="46">
        <v>31685.0</v>
      </c>
      <c r="K110" s="46">
        <v>10500.0</v>
      </c>
      <c r="L110" s="46">
        <v>128.0</v>
      </c>
      <c r="M110" s="59">
        <f t="shared" si="1"/>
        <v>106</v>
      </c>
    </row>
    <row r="111">
      <c r="A111" s="48">
        <v>45673.96045640046</v>
      </c>
      <c r="B111" s="49">
        <v>45673.0</v>
      </c>
      <c r="C111" s="50" t="s">
        <v>13</v>
      </c>
      <c r="D111" s="51">
        <v>172043.0</v>
      </c>
      <c r="E111" s="51">
        <v>41838.0</v>
      </c>
      <c r="F111" s="51">
        <v>2025.0</v>
      </c>
      <c r="G111" s="51">
        <v>10551.0</v>
      </c>
      <c r="H111" s="51">
        <v>312975.0</v>
      </c>
      <c r="I111" s="51">
        <v>19982.0</v>
      </c>
      <c r="J111" s="51">
        <v>20084.0</v>
      </c>
      <c r="K111" s="51">
        <v>70200.0</v>
      </c>
      <c r="L111" s="51">
        <v>305.0</v>
      </c>
      <c r="M111" s="60">
        <f t="shared" si="1"/>
        <v>102</v>
      </c>
    </row>
    <row r="112">
      <c r="A112" s="43">
        <v>45673.96176167824</v>
      </c>
      <c r="B112" s="44">
        <v>45673.0</v>
      </c>
      <c r="C112" s="45" t="s">
        <v>10</v>
      </c>
      <c r="D112" s="46">
        <v>141755.0</v>
      </c>
      <c r="E112" s="46">
        <v>62250.0</v>
      </c>
      <c r="F112" s="46">
        <v>42223.0</v>
      </c>
      <c r="G112" s="46">
        <v>0.0</v>
      </c>
      <c r="H112" s="46">
        <v>13760.0</v>
      </c>
      <c r="I112" s="46">
        <v>61586.0</v>
      </c>
      <c r="J112" s="46">
        <v>61854.0</v>
      </c>
      <c r="K112" s="46">
        <v>35000.0</v>
      </c>
      <c r="L112" s="46">
        <v>240.0</v>
      </c>
      <c r="M112" s="59">
        <f t="shared" si="1"/>
        <v>268</v>
      </c>
    </row>
    <row r="113">
      <c r="A113" s="48">
        <v>45676.49520938657</v>
      </c>
      <c r="B113" s="49">
        <v>45673.0</v>
      </c>
      <c r="C113" s="50" t="s">
        <v>11</v>
      </c>
      <c r="D113" s="51">
        <v>74004.0</v>
      </c>
      <c r="E113" s="51">
        <v>30013.0</v>
      </c>
      <c r="F113" s="51">
        <v>5316.0</v>
      </c>
      <c r="G113" s="51">
        <v>0.0</v>
      </c>
      <c r="H113" s="51">
        <v>111.0</v>
      </c>
      <c r="I113" s="51">
        <v>51598.0</v>
      </c>
      <c r="J113" s="51">
        <v>51758.0</v>
      </c>
      <c r="K113" s="51">
        <v>17000.0</v>
      </c>
      <c r="L113" s="51">
        <v>180.0</v>
      </c>
      <c r="M113" s="60">
        <f t="shared" si="1"/>
        <v>160</v>
      </c>
    </row>
    <row r="114">
      <c r="A114" s="43">
        <v>45674.9285825</v>
      </c>
      <c r="B114" s="44">
        <v>45674.0</v>
      </c>
      <c r="C114" s="45" t="s">
        <v>8</v>
      </c>
      <c r="D114" s="46">
        <v>86565.0</v>
      </c>
      <c r="E114" s="46">
        <v>52785.0</v>
      </c>
      <c r="F114" s="46">
        <v>9081.0</v>
      </c>
      <c r="G114" s="46"/>
      <c r="H114" s="46">
        <v>726.0</v>
      </c>
      <c r="I114" s="46">
        <v>47752.0</v>
      </c>
      <c r="J114" s="46">
        <v>47902.0</v>
      </c>
      <c r="K114" s="46">
        <v>18500.0</v>
      </c>
      <c r="L114" s="46">
        <v>1210.0</v>
      </c>
      <c r="M114" s="59">
        <f t="shared" si="1"/>
        <v>150</v>
      </c>
    </row>
    <row r="115">
      <c r="A115" s="48">
        <v>45674.939776168976</v>
      </c>
      <c r="B115" s="49">
        <v>45674.0</v>
      </c>
      <c r="C115" s="50" t="s">
        <v>12</v>
      </c>
      <c r="D115" s="51">
        <v>54434.0</v>
      </c>
      <c r="E115" s="51">
        <v>31641.0</v>
      </c>
      <c r="F115" s="51">
        <v>6142.0</v>
      </c>
      <c r="G115" s="51">
        <v>0.0</v>
      </c>
      <c r="H115" s="51">
        <v>1241.0</v>
      </c>
      <c r="I115" s="51">
        <v>31686.0</v>
      </c>
      <c r="J115" s="51">
        <v>31814.0</v>
      </c>
      <c r="K115" s="51">
        <v>24500.0</v>
      </c>
      <c r="L115" s="51">
        <v>1686.0</v>
      </c>
      <c r="M115" s="60">
        <f t="shared" si="1"/>
        <v>128</v>
      </c>
    </row>
    <row r="116">
      <c r="A116" s="43">
        <v>45674.94212290509</v>
      </c>
      <c r="B116" s="44">
        <v>45674.0</v>
      </c>
      <c r="C116" s="45" t="s">
        <v>11</v>
      </c>
      <c r="D116" s="46">
        <v>73358.0</v>
      </c>
      <c r="E116" s="46">
        <v>33665.0</v>
      </c>
      <c r="F116" s="46">
        <v>19455.0</v>
      </c>
      <c r="G116" s="46">
        <v>0.0</v>
      </c>
      <c r="H116" s="46">
        <v>1395.0</v>
      </c>
      <c r="I116" s="46">
        <v>51759.0</v>
      </c>
      <c r="J116" s="46">
        <v>51923.0</v>
      </c>
      <c r="K116" s="46">
        <v>0.0</v>
      </c>
      <c r="L116" s="46">
        <v>180.0</v>
      </c>
      <c r="M116" s="59">
        <f t="shared" si="1"/>
        <v>164</v>
      </c>
    </row>
    <row r="117">
      <c r="A117" s="48">
        <v>45674.94389126157</v>
      </c>
      <c r="B117" s="49">
        <v>45674.0</v>
      </c>
      <c r="C117" s="50" t="s">
        <v>7</v>
      </c>
      <c r="D117" s="51">
        <v>317719.0</v>
      </c>
      <c r="E117" s="51">
        <v>128569.0</v>
      </c>
      <c r="F117" s="51">
        <v>43696.0</v>
      </c>
      <c r="G117" s="51">
        <v>67960.0</v>
      </c>
      <c r="H117" s="51">
        <v>0.0</v>
      </c>
      <c r="I117" s="51">
        <v>95971.0</v>
      </c>
      <c r="J117" s="51">
        <v>96314.0</v>
      </c>
      <c r="K117" s="51">
        <v>99000.0</v>
      </c>
      <c r="L117" s="51">
        <v>2884.0</v>
      </c>
      <c r="M117" s="60">
        <f t="shared" si="1"/>
        <v>343</v>
      </c>
    </row>
    <row r="118">
      <c r="A118" s="43">
        <v>45674.94490472222</v>
      </c>
      <c r="B118" s="44">
        <v>45674.0</v>
      </c>
      <c r="C118" s="45" t="s">
        <v>9</v>
      </c>
      <c r="D118" s="46">
        <v>127102.0</v>
      </c>
      <c r="E118" s="46">
        <v>67884.0</v>
      </c>
      <c r="F118" s="46">
        <v>24179.0</v>
      </c>
      <c r="G118" s="46">
        <v>0.0</v>
      </c>
      <c r="H118" s="46">
        <v>0.0</v>
      </c>
      <c r="I118" s="46">
        <v>61682.0</v>
      </c>
      <c r="J118" s="46">
        <v>61924.0</v>
      </c>
      <c r="K118" s="46">
        <v>100000.0</v>
      </c>
      <c r="L118" s="46">
        <v>700.0</v>
      </c>
      <c r="M118" s="59">
        <f t="shared" si="1"/>
        <v>242</v>
      </c>
    </row>
    <row r="119">
      <c r="A119" s="48">
        <v>45674.95637126158</v>
      </c>
      <c r="B119" s="49">
        <v>45674.0</v>
      </c>
      <c r="C119" s="50" t="s">
        <v>10</v>
      </c>
      <c r="D119" s="51">
        <v>107216.0</v>
      </c>
      <c r="E119" s="51">
        <v>54347.0</v>
      </c>
      <c r="F119" s="51">
        <v>13833.0</v>
      </c>
      <c r="G119" s="51">
        <v>0.0</v>
      </c>
      <c r="H119" s="51">
        <v>4410.0</v>
      </c>
      <c r="I119" s="51">
        <v>61855.0</v>
      </c>
      <c r="J119" s="51">
        <v>62087.0</v>
      </c>
      <c r="K119" s="51">
        <v>35000.0</v>
      </c>
      <c r="L119" s="51">
        <v>340.0</v>
      </c>
      <c r="M119" s="60">
        <f t="shared" si="1"/>
        <v>232</v>
      </c>
    </row>
    <row r="120">
      <c r="A120" s="43">
        <v>45674.957919884255</v>
      </c>
      <c r="B120" s="44">
        <v>45674.0</v>
      </c>
      <c r="C120" s="45" t="s">
        <v>13</v>
      </c>
      <c r="D120" s="46">
        <v>281066.0</v>
      </c>
      <c r="E120" s="46">
        <v>43147.0</v>
      </c>
      <c r="F120" s="46">
        <v>3582.0</v>
      </c>
      <c r="G120" s="46">
        <v>175441.0</v>
      </c>
      <c r="H120" s="46">
        <v>365124.0</v>
      </c>
      <c r="I120" s="46">
        <v>20085.0</v>
      </c>
      <c r="J120" s="46">
        <v>20205.0</v>
      </c>
      <c r="K120" s="46">
        <v>0.0</v>
      </c>
      <c r="L120" s="46">
        <v>302.0</v>
      </c>
      <c r="M120" s="59">
        <f t="shared" si="1"/>
        <v>120</v>
      </c>
    </row>
    <row r="121">
      <c r="A121" s="48">
        <v>45675.92588003472</v>
      </c>
      <c r="B121" s="49">
        <v>45675.0</v>
      </c>
      <c r="C121" s="50" t="s">
        <v>8</v>
      </c>
      <c r="D121" s="51">
        <v>95412.0</v>
      </c>
      <c r="E121" s="51">
        <v>37596.0</v>
      </c>
      <c r="F121" s="51">
        <v>29007.0</v>
      </c>
      <c r="G121" s="55"/>
      <c r="H121" s="51">
        <v>33550.0</v>
      </c>
      <c r="I121" s="51">
        <v>47903.0</v>
      </c>
      <c r="J121" s="51">
        <v>48075.0</v>
      </c>
      <c r="K121" s="51">
        <v>15000.0</v>
      </c>
      <c r="L121" s="51">
        <v>248.0</v>
      </c>
      <c r="M121" s="60">
        <f t="shared" si="1"/>
        <v>172</v>
      </c>
    </row>
    <row r="122">
      <c r="A122" s="43">
        <v>45675.938216574075</v>
      </c>
      <c r="B122" s="44">
        <v>45675.0</v>
      </c>
      <c r="C122" s="45" t="s">
        <v>12</v>
      </c>
      <c r="D122" s="46">
        <v>60023.0</v>
      </c>
      <c r="E122" s="46">
        <v>25548.0</v>
      </c>
      <c r="F122" s="46">
        <v>14059.0</v>
      </c>
      <c r="G122" s="46">
        <v>0.0</v>
      </c>
      <c r="H122" s="46">
        <v>2055.0</v>
      </c>
      <c r="I122" s="46">
        <v>31815.0</v>
      </c>
      <c r="J122" s="46">
        <v>31931.0</v>
      </c>
      <c r="K122" s="46">
        <v>16000.0</v>
      </c>
      <c r="L122" s="46">
        <v>3713.0</v>
      </c>
      <c r="M122" s="59">
        <f t="shared" si="1"/>
        <v>116</v>
      </c>
    </row>
    <row r="123">
      <c r="A123" s="48">
        <v>45675.94007673611</v>
      </c>
      <c r="B123" s="49">
        <v>45675.0</v>
      </c>
      <c r="C123" s="50" t="s">
        <v>9</v>
      </c>
      <c r="D123" s="51">
        <v>115306.0</v>
      </c>
      <c r="E123" s="51">
        <v>86510.0</v>
      </c>
      <c r="F123" s="51">
        <v>15768.0</v>
      </c>
      <c r="G123" s="51">
        <v>0.0</v>
      </c>
      <c r="H123" s="51">
        <v>0.0</v>
      </c>
      <c r="I123" s="51">
        <v>61925.0</v>
      </c>
      <c r="J123" s="51">
        <v>62133.0</v>
      </c>
      <c r="K123" s="51">
        <v>0.0</v>
      </c>
      <c r="L123" s="51">
        <v>1600.0</v>
      </c>
      <c r="M123" s="60">
        <f t="shared" si="1"/>
        <v>208</v>
      </c>
    </row>
    <row r="124">
      <c r="A124" s="43">
        <v>45675.96005944445</v>
      </c>
      <c r="B124" s="44">
        <v>45675.0</v>
      </c>
      <c r="C124" s="45" t="s">
        <v>10</v>
      </c>
      <c r="D124" s="46">
        <v>123494.0</v>
      </c>
      <c r="E124" s="46">
        <v>66366.0</v>
      </c>
      <c r="F124" s="46">
        <v>22446.0</v>
      </c>
      <c r="G124" s="46">
        <v>0.0</v>
      </c>
      <c r="H124" s="46">
        <v>3547.0</v>
      </c>
      <c r="I124" s="46">
        <v>62088.0</v>
      </c>
      <c r="J124" s="46">
        <v>62357.0</v>
      </c>
      <c r="K124" s="46">
        <v>30000.0</v>
      </c>
      <c r="L124" s="46">
        <v>70.0</v>
      </c>
      <c r="M124" s="59">
        <f t="shared" si="1"/>
        <v>269</v>
      </c>
    </row>
    <row r="125">
      <c r="A125" s="48">
        <v>45675.96292186342</v>
      </c>
      <c r="B125" s="49">
        <v>45675.0</v>
      </c>
      <c r="C125" s="50" t="s">
        <v>13</v>
      </c>
      <c r="D125" s="51">
        <v>219438.0</v>
      </c>
      <c r="E125" s="51">
        <v>38030.0</v>
      </c>
      <c r="F125" s="51">
        <v>21287.0</v>
      </c>
      <c r="G125" s="51">
        <v>118511.0</v>
      </c>
      <c r="H125" s="51">
        <v>304792.0</v>
      </c>
      <c r="I125" s="51">
        <v>20206.0</v>
      </c>
      <c r="J125" s="51">
        <v>20336.0</v>
      </c>
      <c r="K125" s="51">
        <v>0.0</v>
      </c>
      <c r="L125" s="51">
        <v>695.0</v>
      </c>
      <c r="M125" s="60">
        <f t="shared" si="1"/>
        <v>130</v>
      </c>
    </row>
    <row r="126">
      <c r="A126" s="43">
        <v>45676.338910509265</v>
      </c>
      <c r="B126" s="44">
        <v>45675.0</v>
      </c>
      <c r="C126" s="45" t="s">
        <v>11</v>
      </c>
      <c r="D126" s="46">
        <v>95336.0</v>
      </c>
      <c r="E126" s="46">
        <v>37736.0</v>
      </c>
      <c r="F126" s="46">
        <v>25152.0</v>
      </c>
      <c r="G126" s="46">
        <v>0.0</v>
      </c>
      <c r="H126" s="46">
        <v>1159.0</v>
      </c>
      <c r="I126" s="46">
        <v>51924.0</v>
      </c>
      <c r="J126" s="46">
        <v>52087.0</v>
      </c>
      <c r="K126" s="46">
        <v>0.0</v>
      </c>
      <c r="L126" s="53"/>
      <c r="M126" s="59">
        <f t="shared" si="1"/>
        <v>163</v>
      </c>
    </row>
    <row r="127">
      <c r="A127" s="48">
        <v>45676.41776578704</v>
      </c>
      <c r="B127" s="49">
        <v>45675.0</v>
      </c>
      <c r="C127" s="50" t="s">
        <v>7</v>
      </c>
      <c r="D127" s="51">
        <v>304948.0</v>
      </c>
      <c r="E127" s="51">
        <v>118761.0</v>
      </c>
      <c r="F127" s="51">
        <v>102462.0</v>
      </c>
      <c r="G127" s="51">
        <v>18209.0</v>
      </c>
      <c r="H127" s="51">
        <v>0.0</v>
      </c>
      <c r="I127" s="51">
        <v>96315.0</v>
      </c>
      <c r="J127" s="51">
        <v>96717.0</v>
      </c>
      <c r="K127" s="51">
        <v>77500.0</v>
      </c>
      <c r="L127" s="51">
        <v>744.0</v>
      </c>
      <c r="M127" s="60">
        <f t="shared" si="1"/>
        <v>402</v>
      </c>
    </row>
    <row r="128">
      <c r="A128" s="43">
        <v>45676.93111841435</v>
      </c>
      <c r="B128" s="44">
        <v>45676.0</v>
      </c>
      <c r="C128" s="45" t="s">
        <v>8</v>
      </c>
      <c r="D128" s="46">
        <v>93383.0</v>
      </c>
      <c r="E128" s="46">
        <v>40945.0</v>
      </c>
      <c r="F128" s="46">
        <v>13412.0</v>
      </c>
      <c r="G128" s="46">
        <v>2333.0</v>
      </c>
      <c r="H128" s="46">
        <v>2820.0</v>
      </c>
      <c r="I128" s="46">
        <v>48076.0</v>
      </c>
      <c r="J128" s="46">
        <v>48265.0</v>
      </c>
      <c r="K128" s="53"/>
      <c r="L128" s="46">
        <v>328.0</v>
      </c>
      <c r="M128" s="59">
        <f t="shared" si="1"/>
        <v>189</v>
      </c>
    </row>
    <row r="129">
      <c r="A129" s="48">
        <v>45676.93179854167</v>
      </c>
      <c r="B129" s="49">
        <v>45676.0</v>
      </c>
      <c r="C129" s="50" t="s">
        <v>9</v>
      </c>
      <c r="D129" s="51">
        <v>115423.0</v>
      </c>
      <c r="E129" s="51">
        <v>34975.0</v>
      </c>
      <c r="F129" s="51">
        <v>23986.0</v>
      </c>
      <c r="G129" s="51">
        <v>0.0</v>
      </c>
      <c r="H129" s="51">
        <v>0.0</v>
      </c>
      <c r="I129" s="51">
        <v>62134.0</v>
      </c>
      <c r="J129" s="51">
        <v>62351.0</v>
      </c>
      <c r="K129" s="51">
        <v>0.0</v>
      </c>
      <c r="L129" s="51">
        <v>350.0</v>
      </c>
      <c r="M129" s="60">
        <f t="shared" si="1"/>
        <v>217</v>
      </c>
    </row>
    <row r="130">
      <c r="A130" s="43">
        <v>45676.944437349535</v>
      </c>
      <c r="B130" s="44">
        <v>45676.0</v>
      </c>
      <c r="C130" s="45" t="s">
        <v>12</v>
      </c>
      <c r="D130" s="46">
        <v>55295.0</v>
      </c>
      <c r="E130" s="46">
        <v>35537.0</v>
      </c>
      <c r="F130" s="46">
        <v>8273.0</v>
      </c>
      <c r="G130" s="46">
        <v>0.0</v>
      </c>
      <c r="H130" s="46">
        <v>1547.0</v>
      </c>
      <c r="I130" s="46">
        <v>31932.0</v>
      </c>
      <c r="J130" s="46">
        <v>32074.0</v>
      </c>
      <c r="K130" s="58" t="s">
        <v>32</v>
      </c>
      <c r="L130" s="46">
        <v>608.0</v>
      </c>
      <c r="M130" s="59">
        <f t="shared" si="1"/>
        <v>142</v>
      </c>
    </row>
    <row r="131">
      <c r="A131" s="48">
        <v>45676.96339321759</v>
      </c>
      <c r="B131" s="49">
        <v>45676.0</v>
      </c>
      <c r="C131" s="50" t="s">
        <v>10</v>
      </c>
      <c r="D131" s="51">
        <v>117354.0</v>
      </c>
      <c r="E131" s="51">
        <v>46080.0</v>
      </c>
      <c r="F131" s="51">
        <v>19938.0</v>
      </c>
      <c r="G131" s="51">
        <v>14816.0</v>
      </c>
      <c r="H131" s="51">
        <v>4828.0</v>
      </c>
      <c r="I131" s="51">
        <v>62358.0</v>
      </c>
      <c r="J131" s="51">
        <v>62568.0</v>
      </c>
      <c r="K131" s="51">
        <v>0.0</v>
      </c>
      <c r="L131" s="51">
        <v>70.0</v>
      </c>
      <c r="M131" s="60">
        <f t="shared" si="1"/>
        <v>210</v>
      </c>
    </row>
    <row r="132">
      <c r="A132" s="43">
        <v>45677.498866759255</v>
      </c>
      <c r="B132" s="44">
        <v>45676.0</v>
      </c>
      <c r="C132" s="45" t="s">
        <v>11</v>
      </c>
      <c r="D132" s="46">
        <v>49673.0</v>
      </c>
      <c r="E132" s="46">
        <v>21579.0</v>
      </c>
      <c r="F132" s="46">
        <v>10422.0</v>
      </c>
      <c r="G132" s="46">
        <v>19751.0</v>
      </c>
      <c r="H132" s="46">
        <v>0.0</v>
      </c>
      <c r="I132" s="46">
        <v>52088.0</v>
      </c>
      <c r="J132" s="46">
        <v>52246.0</v>
      </c>
      <c r="K132" s="46">
        <v>0.0</v>
      </c>
      <c r="L132" s="46">
        <v>110.0</v>
      </c>
      <c r="M132" s="59">
        <f t="shared" si="1"/>
        <v>158</v>
      </c>
    </row>
    <row r="133">
      <c r="A133" s="61">
        <v>45677.930175497684</v>
      </c>
      <c r="B133" s="62">
        <v>45677.0</v>
      </c>
      <c r="C133" s="63" t="s">
        <v>8</v>
      </c>
      <c r="D133" s="64">
        <v>79897.0</v>
      </c>
      <c r="E133" s="64">
        <v>47598.0</v>
      </c>
      <c r="F133" s="64">
        <v>3772.0</v>
      </c>
      <c r="G133" s="65"/>
      <c r="H133" s="64">
        <v>3402.0</v>
      </c>
      <c r="I133" s="64">
        <v>48266.0</v>
      </c>
      <c r="J133" s="64">
        <v>48431.0</v>
      </c>
      <c r="K133" s="64">
        <v>65000.0</v>
      </c>
      <c r="L133" s="64">
        <v>2098.0</v>
      </c>
      <c r="M133" s="66">
        <f t="shared" si="1"/>
        <v>165</v>
      </c>
    </row>
    <row r="134">
      <c r="A134" s="67">
        <v>45677.93881930556</v>
      </c>
      <c r="B134" s="68">
        <v>45677.0</v>
      </c>
      <c r="C134" s="69" t="s">
        <v>9</v>
      </c>
      <c r="D134" s="70">
        <v>129488.0</v>
      </c>
      <c r="E134" s="70">
        <v>70145.0</v>
      </c>
      <c r="F134" s="70">
        <v>45124.0</v>
      </c>
      <c r="G134" s="70">
        <v>0.0</v>
      </c>
      <c r="H134" s="70">
        <v>0.0</v>
      </c>
      <c r="I134" s="70">
        <v>62352.0</v>
      </c>
      <c r="J134" s="70">
        <v>62578.0</v>
      </c>
      <c r="K134" s="70">
        <v>75000.0</v>
      </c>
      <c r="L134" s="70">
        <v>370.0</v>
      </c>
      <c r="M134" s="71">
        <f t="shared" si="1"/>
        <v>226</v>
      </c>
    </row>
    <row r="135">
      <c r="A135" s="61">
        <v>45677.939405972225</v>
      </c>
      <c r="B135" s="62">
        <v>45677.0</v>
      </c>
      <c r="C135" s="63" t="s">
        <v>12</v>
      </c>
      <c r="D135" s="64">
        <v>61664.0</v>
      </c>
      <c r="E135" s="64">
        <v>31390.0</v>
      </c>
      <c r="F135" s="64">
        <v>15982.0</v>
      </c>
      <c r="G135" s="64">
        <v>0.0</v>
      </c>
      <c r="H135" s="64">
        <v>956.0</v>
      </c>
      <c r="I135" s="64">
        <v>32075.0</v>
      </c>
      <c r="J135" s="64">
        <v>32195.0</v>
      </c>
      <c r="K135" s="64">
        <v>26500.0</v>
      </c>
      <c r="L135" s="64">
        <v>570.0</v>
      </c>
      <c r="M135" s="66">
        <f t="shared" si="1"/>
        <v>120</v>
      </c>
    </row>
    <row r="136">
      <c r="A136" s="67">
        <v>45677.962784999996</v>
      </c>
      <c r="B136" s="68">
        <v>45677.0</v>
      </c>
      <c r="C136" s="69" t="s">
        <v>10</v>
      </c>
      <c r="D136" s="70">
        <v>118137.0</v>
      </c>
      <c r="E136" s="70">
        <v>55081.0</v>
      </c>
      <c r="F136" s="70">
        <v>26884.0</v>
      </c>
      <c r="G136" s="70">
        <v>0.0</v>
      </c>
      <c r="H136" s="70">
        <v>4835.0</v>
      </c>
      <c r="I136" s="70">
        <v>62569.0</v>
      </c>
      <c r="J136" s="70">
        <v>62844.0</v>
      </c>
      <c r="K136" s="70">
        <v>50000.0</v>
      </c>
      <c r="L136" s="70">
        <v>120.0</v>
      </c>
      <c r="M136" s="71">
        <f t="shared" si="1"/>
        <v>275</v>
      </c>
    </row>
    <row r="137">
      <c r="A137" s="61">
        <v>45677.97668626157</v>
      </c>
      <c r="B137" s="62">
        <v>45677.0</v>
      </c>
      <c r="C137" s="63" t="s">
        <v>13</v>
      </c>
      <c r="D137" s="64">
        <v>390494.0</v>
      </c>
      <c r="E137" s="64">
        <v>31842.0</v>
      </c>
      <c r="F137" s="64">
        <v>10175.0</v>
      </c>
      <c r="G137" s="64">
        <v>305388.0</v>
      </c>
      <c r="H137" s="64">
        <v>302568.0</v>
      </c>
      <c r="I137" s="64">
        <v>20385.0</v>
      </c>
      <c r="J137" s="64">
        <v>20526.0</v>
      </c>
      <c r="K137" s="64">
        <v>130400.0</v>
      </c>
      <c r="L137" s="64">
        <v>140.0</v>
      </c>
      <c r="M137" s="66">
        <f t="shared" si="1"/>
        <v>141</v>
      </c>
    </row>
    <row r="138">
      <c r="A138" s="67">
        <v>45678.55726890046</v>
      </c>
      <c r="B138" s="68">
        <v>45677.0</v>
      </c>
      <c r="C138" s="69" t="s">
        <v>11</v>
      </c>
      <c r="D138" s="70">
        <v>107861.0</v>
      </c>
      <c r="E138" s="70">
        <v>34397.0</v>
      </c>
      <c r="F138" s="70">
        <v>42187.0</v>
      </c>
      <c r="G138" s="70">
        <v>0.0</v>
      </c>
      <c r="H138" s="70">
        <v>0.0</v>
      </c>
      <c r="I138" s="70">
        <v>52247.0</v>
      </c>
      <c r="J138" s="70">
        <v>52450.0</v>
      </c>
      <c r="K138" s="70">
        <v>78000.0</v>
      </c>
      <c r="L138" s="70">
        <v>171.0</v>
      </c>
      <c r="M138" s="71">
        <f t="shared" si="1"/>
        <v>203</v>
      </c>
    </row>
    <row r="139">
      <c r="A139" s="61">
        <v>45678.928335358796</v>
      </c>
      <c r="B139" s="62">
        <v>45678.0</v>
      </c>
      <c r="C139" s="63" t="s">
        <v>8</v>
      </c>
      <c r="D139" s="64">
        <v>86675.0</v>
      </c>
      <c r="E139" s="64">
        <v>29425.0</v>
      </c>
      <c r="F139" s="64">
        <v>30838.0</v>
      </c>
      <c r="H139" s="64">
        <v>3347.0</v>
      </c>
      <c r="I139" s="64">
        <v>48432.0</v>
      </c>
      <c r="J139" s="64">
        <v>48617.0</v>
      </c>
      <c r="K139" s="64">
        <v>28000.0</v>
      </c>
      <c r="L139" s="64">
        <v>358.0</v>
      </c>
      <c r="M139" s="66">
        <f t="shared" si="1"/>
        <v>185</v>
      </c>
    </row>
    <row r="140">
      <c r="A140" s="67">
        <v>45678.94255146991</v>
      </c>
      <c r="B140" s="68">
        <v>45678.0</v>
      </c>
      <c r="C140" s="69" t="s">
        <v>12</v>
      </c>
      <c r="D140" s="70">
        <v>86086.0</v>
      </c>
      <c r="E140" s="70">
        <v>54934.0</v>
      </c>
      <c r="F140" s="70">
        <v>16200.0</v>
      </c>
      <c r="G140" s="72" t="s">
        <v>32</v>
      </c>
      <c r="H140" s="70">
        <v>3919.0</v>
      </c>
      <c r="I140" s="70">
        <v>32196.0</v>
      </c>
      <c r="J140" s="70">
        <v>32343.0</v>
      </c>
      <c r="K140" s="72" t="s">
        <v>35</v>
      </c>
      <c r="L140" s="70">
        <v>154.0</v>
      </c>
      <c r="M140" s="71">
        <f t="shared" si="1"/>
        <v>147</v>
      </c>
    </row>
    <row r="141">
      <c r="A141" s="61">
        <v>45678.95963324074</v>
      </c>
      <c r="B141" s="62">
        <v>45678.0</v>
      </c>
      <c r="C141" s="63" t="s">
        <v>10</v>
      </c>
      <c r="D141" s="64">
        <v>100907.0</v>
      </c>
      <c r="E141" s="64">
        <v>51593.0</v>
      </c>
      <c r="F141" s="64">
        <v>25664.0</v>
      </c>
      <c r="G141" s="64">
        <v>0.0</v>
      </c>
      <c r="H141" s="64">
        <v>11907.0</v>
      </c>
      <c r="I141" s="64">
        <v>62570.0</v>
      </c>
      <c r="J141" s="64">
        <v>63087.0</v>
      </c>
      <c r="K141" s="64">
        <v>40000.0</v>
      </c>
      <c r="L141" s="64">
        <v>100.0</v>
      </c>
      <c r="M141" s="66">
        <f t="shared" si="1"/>
        <v>517</v>
      </c>
    </row>
    <row r="142">
      <c r="A142" s="67">
        <v>45679.403340370365</v>
      </c>
      <c r="B142" s="68">
        <v>45678.0</v>
      </c>
      <c r="C142" s="69" t="s">
        <v>11</v>
      </c>
      <c r="D142" s="70">
        <v>99031.0</v>
      </c>
      <c r="E142" s="70">
        <v>52627.0</v>
      </c>
      <c r="F142" s="70">
        <v>55154.0</v>
      </c>
      <c r="G142" s="70">
        <v>0.0</v>
      </c>
      <c r="H142" s="70">
        <v>0.0</v>
      </c>
      <c r="I142" s="70">
        <v>52451.0</v>
      </c>
      <c r="J142" s="70">
        <v>52648.0</v>
      </c>
      <c r="K142" s="70">
        <v>21000.0</v>
      </c>
      <c r="L142" s="70">
        <v>150.0</v>
      </c>
      <c r="M142" s="71">
        <f t="shared" si="1"/>
        <v>197</v>
      </c>
    </row>
    <row r="143">
      <c r="A143" s="61">
        <v>45679.46408542824</v>
      </c>
      <c r="B143" s="62">
        <v>45676.0</v>
      </c>
      <c r="C143" s="63" t="s">
        <v>7</v>
      </c>
      <c r="D143" s="64">
        <v>218937.0</v>
      </c>
      <c r="E143" s="64">
        <v>86528.0</v>
      </c>
      <c r="F143" s="64">
        <v>51031.0</v>
      </c>
      <c r="G143" s="64">
        <v>2843.0</v>
      </c>
      <c r="H143" s="64">
        <v>0.0</v>
      </c>
      <c r="I143" s="64">
        <v>96718.0</v>
      </c>
      <c r="J143" s="64">
        <v>97032.0</v>
      </c>
      <c r="K143" s="64">
        <v>0.0</v>
      </c>
      <c r="L143" s="64">
        <v>241.0</v>
      </c>
      <c r="M143" s="66">
        <f t="shared" si="1"/>
        <v>314</v>
      </c>
    </row>
    <row r="144">
      <c r="A144" s="67">
        <v>45679.46606237268</v>
      </c>
      <c r="B144" s="68">
        <v>45677.0</v>
      </c>
      <c r="C144" s="69" t="s">
        <v>7</v>
      </c>
      <c r="D144" s="70">
        <v>240592.0</v>
      </c>
      <c r="E144" s="70">
        <v>91771.0</v>
      </c>
      <c r="F144" s="70">
        <v>46579.0</v>
      </c>
      <c r="G144" s="70">
        <v>19245.0</v>
      </c>
      <c r="H144" s="70">
        <v>0.0</v>
      </c>
      <c r="I144" s="70">
        <v>97033.0</v>
      </c>
      <c r="J144" s="70">
        <v>97398.0</v>
      </c>
      <c r="K144" s="70">
        <v>150100.0</v>
      </c>
      <c r="L144" s="70">
        <v>1229.0</v>
      </c>
      <c r="M144" s="71">
        <f t="shared" si="1"/>
        <v>365</v>
      </c>
    </row>
    <row r="145">
      <c r="A145" s="61">
        <v>45679.46836408565</v>
      </c>
      <c r="B145" s="62">
        <v>45678.0</v>
      </c>
      <c r="C145" s="63" t="s">
        <v>7</v>
      </c>
      <c r="D145" s="64">
        <v>313337.0</v>
      </c>
      <c r="E145" s="64">
        <v>141654.0</v>
      </c>
      <c r="F145" s="64">
        <v>53419.0</v>
      </c>
      <c r="G145" s="64">
        <v>26430.0</v>
      </c>
      <c r="H145" s="64">
        <v>0.0</v>
      </c>
      <c r="I145" s="64">
        <v>97399.0</v>
      </c>
      <c r="J145" s="64">
        <v>97786.0</v>
      </c>
      <c r="K145" s="64">
        <v>80400.0</v>
      </c>
      <c r="L145" s="64">
        <v>2743.0</v>
      </c>
      <c r="M145" s="66">
        <f t="shared" si="1"/>
        <v>387</v>
      </c>
    </row>
    <row r="146">
      <c r="A146" s="73"/>
      <c r="B146" s="74"/>
      <c r="C146" s="75"/>
      <c r="D146" s="76"/>
      <c r="E146" s="76"/>
      <c r="F146" s="76"/>
      <c r="G146" s="76"/>
      <c r="H146" s="76"/>
      <c r="I146" s="76"/>
      <c r="J146" s="76"/>
      <c r="K146" s="76"/>
      <c r="L146" s="76"/>
      <c r="M146" s="77"/>
    </row>
    <row r="147">
      <c r="A147" s="78"/>
      <c r="B147" s="79"/>
      <c r="C147" s="80"/>
      <c r="D147" s="38"/>
      <c r="E147" s="38"/>
      <c r="F147" s="38"/>
      <c r="G147" s="38"/>
      <c r="H147" s="38"/>
      <c r="I147" s="38"/>
      <c r="J147" s="38"/>
      <c r="K147" s="38"/>
      <c r="L147" s="38"/>
      <c r="M147" s="81"/>
    </row>
    <row r="148">
      <c r="A148" s="73"/>
      <c r="B148" s="74"/>
      <c r="C148" s="75"/>
      <c r="D148" s="76"/>
      <c r="E148" s="76"/>
      <c r="F148" s="76"/>
      <c r="G148" s="76"/>
      <c r="H148" s="76"/>
      <c r="I148" s="76"/>
      <c r="J148" s="76"/>
      <c r="K148" s="76"/>
      <c r="L148" s="76"/>
      <c r="M148" s="77"/>
    </row>
    <row r="149">
      <c r="A149" s="78"/>
      <c r="B149" s="79"/>
      <c r="C149" s="80"/>
      <c r="D149" s="38"/>
      <c r="E149" s="38"/>
      <c r="F149" s="38"/>
      <c r="G149" s="38"/>
      <c r="H149" s="38"/>
      <c r="I149" s="38"/>
      <c r="J149" s="38"/>
      <c r="K149" s="38"/>
      <c r="L149" s="38"/>
      <c r="M149" s="81"/>
    </row>
    <row r="150">
      <c r="A150" s="73"/>
      <c r="B150" s="74"/>
      <c r="C150" s="75"/>
      <c r="D150" s="76"/>
      <c r="E150" s="76"/>
      <c r="F150" s="76"/>
      <c r="G150" s="76"/>
      <c r="H150" s="76"/>
      <c r="I150" s="76"/>
      <c r="J150" s="76"/>
      <c r="K150" s="76"/>
      <c r="L150" s="76"/>
      <c r="M150" s="77"/>
    </row>
    <row r="151">
      <c r="A151" s="78"/>
      <c r="B151" s="79"/>
      <c r="C151" s="80"/>
      <c r="D151" s="38"/>
      <c r="E151" s="38"/>
      <c r="F151" s="38"/>
      <c r="G151" s="38"/>
      <c r="H151" s="38"/>
      <c r="I151" s="38"/>
      <c r="J151" s="38"/>
      <c r="K151" s="38"/>
      <c r="L151" s="38"/>
      <c r="M151" s="81"/>
    </row>
    <row r="152">
      <c r="A152" s="73"/>
      <c r="B152" s="74"/>
      <c r="C152" s="75"/>
      <c r="D152" s="76"/>
      <c r="E152" s="76"/>
      <c r="F152" s="76"/>
      <c r="G152" s="76"/>
      <c r="H152" s="76"/>
      <c r="I152" s="76"/>
      <c r="J152" s="76"/>
      <c r="K152" s="76"/>
      <c r="L152" s="76"/>
      <c r="M152" s="77"/>
    </row>
    <row r="153">
      <c r="A153" s="78"/>
      <c r="B153" s="79"/>
      <c r="C153" s="80"/>
      <c r="D153" s="38"/>
      <c r="E153" s="38"/>
      <c r="F153" s="38"/>
      <c r="G153" s="38"/>
      <c r="H153" s="38"/>
      <c r="I153" s="38"/>
      <c r="J153" s="38"/>
      <c r="K153" s="38"/>
      <c r="L153" s="38"/>
      <c r="M153" s="81"/>
    </row>
    <row r="154">
      <c r="A154" s="73"/>
      <c r="B154" s="74"/>
      <c r="C154" s="75"/>
      <c r="D154" s="76"/>
      <c r="E154" s="76"/>
      <c r="F154" s="76"/>
      <c r="G154" s="76"/>
      <c r="H154" s="76"/>
      <c r="I154" s="76"/>
      <c r="J154" s="76"/>
      <c r="K154" s="76"/>
      <c r="L154" s="76"/>
      <c r="M154" s="77"/>
    </row>
    <row r="155">
      <c r="A155" s="78"/>
      <c r="B155" s="79"/>
      <c r="C155" s="80"/>
      <c r="D155" s="38"/>
      <c r="E155" s="38"/>
      <c r="F155" s="38"/>
      <c r="G155" s="38"/>
      <c r="H155" s="38"/>
      <c r="I155" s="38"/>
      <c r="J155" s="38"/>
      <c r="K155" s="38"/>
      <c r="L155" s="38"/>
      <c r="M155" s="81"/>
    </row>
    <row r="156">
      <c r="A156" s="73"/>
      <c r="B156" s="74"/>
      <c r="C156" s="75"/>
      <c r="D156" s="76"/>
      <c r="E156" s="76"/>
      <c r="F156" s="76"/>
      <c r="G156" s="76"/>
      <c r="H156" s="76"/>
      <c r="I156" s="76"/>
      <c r="J156" s="76"/>
      <c r="K156" s="76"/>
      <c r="L156" s="76"/>
      <c r="M156" s="77"/>
    </row>
    <row r="157">
      <c r="A157" s="78"/>
      <c r="B157" s="79"/>
      <c r="C157" s="80"/>
      <c r="D157" s="38"/>
      <c r="E157" s="38"/>
      <c r="F157" s="38"/>
      <c r="G157" s="38"/>
      <c r="H157" s="38"/>
      <c r="I157" s="38"/>
      <c r="J157" s="38"/>
      <c r="K157" s="38"/>
      <c r="L157" s="38"/>
      <c r="M157" s="81"/>
    </row>
    <row r="158">
      <c r="A158" s="73"/>
      <c r="B158" s="74"/>
      <c r="C158" s="75"/>
      <c r="D158" s="76"/>
      <c r="E158" s="76"/>
      <c r="F158" s="76"/>
      <c r="G158" s="76"/>
      <c r="H158" s="76"/>
      <c r="I158" s="76"/>
      <c r="J158" s="76"/>
      <c r="K158" s="76"/>
      <c r="L158" s="76"/>
      <c r="M158" s="77"/>
    </row>
    <row r="159">
      <c r="A159" s="78"/>
      <c r="B159" s="79"/>
      <c r="C159" s="80"/>
      <c r="D159" s="38"/>
      <c r="E159" s="38"/>
      <c r="F159" s="38"/>
      <c r="G159" s="38"/>
      <c r="H159" s="38"/>
      <c r="I159" s="38"/>
      <c r="J159" s="38"/>
      <c r="K159" s="38"/>
      <c r="L159" s="38"/>
      <c r="M159" s="81"/>
    </row>
    <row r="160">
      <c r="A160" s="73"/>
      <c r="B160" s="74"/>
      <c r="C160" s="75"/>
      <c r="D160" s="76"/>
      <c r="E160" s="76"/>
      <c r="F160" s="76"/>
      <c r="G160" s="76"/>
      <c r="H160" s="76"/>
      <c r="I160" s="76"/>
      <c r="J160" s="76"/>
      <c r="K160" s="76"/>
      <c r="L160" s="76"/>
      <c r="M160" s="77"/>
    </row>
    <row r="161">
      <c r="A161" s="78"/>
      <c r="B161" s="79"/>
      <c r="C161" s="80"/>
      <c r="D161" s="38"/>
      <c r="E161" s="38"/>
      <c r="F161" s="38"/>
      <c r="G161" s="38"/>
      <c r="H161" s="38"/>
      <c r="I161" s="38"/>
      <c r="J161" s="38"/>
      <c r="K161" s="38"/>
      <c r="L161" s="38"/>
      <c r="M161" s="81"/>
    </row>
    <row r="162">
      <c r="A162" s="73"/>
      <c r="B162" s="74"/>
      <c r="C162" s="75"/>
      <c r="D162" s="76"/>
      <c r="E162" s="76"/>
      <c r="F162" s="76"/>
      <c r="G162" s="76"/>
      <c r="H162" s="76"/>
      <c r="I162" s="76"/>
      <c r="J162" s="76"/>
      <c r="K162" s="76"/>
      <c r="L162" s="76"/>
      <c r="M162" s="77"/>
    </row>
    <row r="163">
      <c r="A163" s="78"/>
      <c r="B163" s="79"/>
      <c r="C163" s="80"/>
      <c r="D163" s="38"/>
      <c r="E163" s="38"/>
      <c r="F163" s="38"/>
      <c r="G163" s="38"/>
      <c r="H163" s="38"/>
      <c r="I163" s="38"/>
      <c r="J163" s="38"/>
      <c r="K163" s="38"/>
      <c r="L163" s="38"/>
      <c r="M163" s="81"/>
    </row>
    <row r="164">
      <c r="A164" s="73"/>
      <c r="B164" s="74"/>
      <c r="C164" s="75"/>
      <c r="D164" s="76"/>
      <c r="E164" s="76"/>
      <c r="F164" s="76"/>
      <c r="G164" s="76"/>
      <c r="H164" s="76"/>
      <c r="I164" s="76"/>
      <c r="J164" s="76"/>
      <c r="K164" s="76"/>
      <c r="L164" s="76"/>
      <c r="M164" s="77"/>
    </row>
    <row r="165">
      <c r="A165" s="78"/>
      <c r="B165" s="79"/>
      <c r="C165" s="80"/>
      <c r="D165" s="38"/>
      <c r="E165" s="38"/>
      <c r="F165" s="38"/>
      <c r="G165" s="38"/>
      <c r="H165" s="38"/>
      <c r="I165" s="38"/>
      <c r="J165" s="38"/>
      <c r="K165" s="38"/>
      <c r="L165" s="38"/>
      <c r="M165" s="81"/>
    </row>
    <row r="166">
      <c r="A166" s="73"/>
      <c r="B166" s="74"/>
      <c r="C166" s="75"/>
      <c r="D166" s="76"/>
      <c r="E166" s="76"/>
      <c r="F166" s="76"/>
      <c r="G166" s="76"/>
      <c r="H166" s="76"/>
      <c r="I166" s="76"/>
      <c r="J166" s="76"/>
      <c r="K166" s="76"/>
      <c r="L166" s="76"/>
      <c r="M166" s="77"/>
    </row>
    <row r="167">
      <c r="A167" s="78"/>
      <c r="B167" s="79"/>
      <c r="C167" s="80"/>
      <c r="D167" s="38"/>
      <c r="E167" s="38"/>
      <c r="F167" s="38"/>
      <c r="G167" s="38"/>
      <c r="H167" s="38"/>
      <c r="I167" s="38"/>
      <c r="J167" s="38"/>
      <c r="K167" s="38"/>
      <c r="L167" s="38"/>
      <c r="M167" s="81"/>
    </row>
    <row r="168">
      <c r="A168" s="73"/>
      <c r="B168" s="74"/>
      <c r="C168" s="75"/>
      <c r="D168" s="76"/>
      <c r="E168" s="76"/>
      <c r="F168" s="76"/>
      <c r="G168" s="76"/>
      <c r="H168" s="76"/>
      <c r="I168" s="76"/>
      <c r="J168" s="76"/>
      <c r="K168" s="76"/>
      <c r="L168" s="76"/>
      <c r="M168" s="77"/>
    </row>
    <row r="169">
      <c r="A169" s="78"/>
      <c r="B169" s="79"/>
      <c r="C169" s="80"/>
      <c r="D169" s="38"/>
      <c r="E169" s="38"/>
      <c r="F169" s="38"/>
      <c r="G169" s="38"/>
      <c r="H169" s="38"/>
      <c r="I169" s="38"/>
      <c r="J169" s="38"/>
      <c r="K169" s="38"/>
      <c r="L169" s="38"/>
      <c r="M169" s="81"/>
    </row>
    <row r="170">
      <c r="A170" s="73"/>
      <c r="B170" s="74"/>
      <c r="C170" s="75"/>
      <c r="D170" s="76"/>
      <c r="E170" s="76"/>
      <c r="F170" s="76"/>
      <c r="G170" s="76"/>
      <c r="H170" s="76"/>
      <c r="I170" s="76"/>
      <c r="J170" s="76"/>
      <c r="K170" s="76"/>
      <c r="L170" s="76"/>
      <c r="M170" s="77"/>
    </row>
    <row r="171">
      <c r="A171" s="78"/>
      <c r="B171" s="79"/>
      <c r="C171" s="80"/>
      <c r="D171" s="38"/>
      <c r="E171" s="38"/>
      <c r="F171" s="38"/>
      <c r="G171" s="38"/>
      <c r="H171" s="38"/>
      <c r="I171" s="38"/>
      <c r="J171" s="38"/>
      <c r="K171" s="38"/>
      <c r="L171" s="38"/>
      <c r="M171" s="81"/>
    </row>
    <row r="172">
      <c r="A172" s="73"/>
      <c r="B172" s="74"/>
      <c r="C172" s="75"/>
      <c r="D172" s="76"/>
      <c r="E172" s="76"/>
      <c r="F172" s="76"/>
      <c r="G172" s="76"/>
      <c r="H172" s="76"/>
      <c r="I172" s="76"/>
      <c r="J172" s="76"/>
      <c r="K172" s="76"/>
      <c r="L172" s="76"/>
      <c r="M172" s="77"/>
    </row>
    <row r="173">
      <c r="A173" s="78"/>
      <c r="B173" s="79"/>
      <c r="C173" s="80"/>
      <c r="D173" s="38"/>
      <c r="E173" s="38"/>
      <c r="F173" s="38"/>
      <c r="G173" s="38"/>
      <c r="H173" s="38"/>
      <c r="I173" s="38"/>
      <c r="J173" s="38"/>
      <c r="K173" s="38"/>
      <c r="L173" s="38"/>
      <c r="M173" s="81"/>
    </row>
    <row r="174">
      <c r="A174" s="82"/>
      <c r="B174" s="83"/>
      <c r="C174" s="84"/>
      <c r="D174" s="85"/>
      <c r="E174" s="85"/>
      <c r="F174" s="85"/>
      <c r="G174" s="85"/>
      <c r="H174" s="85"/>
      <c r="I174" s="85"/>
      <c r="J174" s="85"/>
      <c r="K174" s="85"/>
      <c r="L174" s="85"/>
      <c r="M174" s="86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</row>
    <row r="259">
      <c r="A259" s="87"/>
      <c r="B259" s="88" t="str">
        <f>#REF!</f>
        <v>#REF!</v>
      </c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</row>
    <row r="260">
      <c r="A260" s="89"/>
      <c r="B260" s="90"/>
      <c r="C260" s="91"/>
      <c r="D260" s="87"/>
      <c r="E260" s="87"/>
      <c r="F260" s="87"/>
      <c r="G260" s="87"/>
      <c r="H260" s="87"/>
      <c r="I260" s="87"/>
      <c r="J260" s="87"/>
      <c r="K260" s="87"/>
      <c r="L260" s="87"/>
      <c r="M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</row>
  </sheetData>
  <conditionalFormatting sqref="B1:B445">
    <cfRule type="expression" dxfId="1" priority="1">
      <formula>countif</formula>
    </cfRule>
  </conditionalFormatting>
  <dataValidations>
    <dataValidation type="custom" allowBlank="1" showDropDown="1" sqref="B2:B174">
      <formula1>OR(NOT(ISERROR(DATEVALUE(B2))), AND(ISNUMBER(B2), LEFT(CELL("format", B2))="D"))</formula1>
    </dataValidation>
    <dataValidation type="custom" allowBlank="1" showDropDown="1" sqref="A2:A174">
      <formula1>OR(NOT(ISERROR(DATEVALUE(A2))), AND(ISNUMBER(A2), LEFT(CELL("format", A2))="D"))</formula1>
    </dataValidation>
    <dataValidation type="custom" allowBlank="1" showDropDown="1" sqref="D2:L174">
      <formula1>AND(ISNUMBER(D2),(NOT(OR(NOT(ISERROR(DATEVALUE(D2))), AND(ISNUMBER(D2), LEFT(CELL("format", D2))="D")))))</formula1>
    </dataValidation>
    <dataValidation allowBlank="1" showDropDown="1" sqref="C2:C174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6.25"/>
    <col customWidth="1" min="3" max="3" width="15.25"/>
    <col customWidth="1" min="4" max="4" width="12.75"/>
    <col customWidth="1" min="5" max="5" width="13.75"/>
    <col customWidth="1" min="6" max="6" width="13.88"/>
  </cols>
  <sheetData>
    <row r="1">
      <c r="A1" s="1" t="s">
        <v>1</v>
      </c>
      <c r="B1" s="6" t="s">
        <v>2</v>
      </c>
      <c r="C1" s="7" t="s">
        <v>3</v>
      </c>
      <c r="D1" s="7" t="s">
        <v>4</v>
      </c>
      <c r="E1" s="6" t="s">
        <v>5</v>
      </c>
      <c r="F1" s="6" t="s">
        <v>6</v>
      </c>
    </row>
    <row r="2" ht="24.75" customHeight="1">
      <c r="A2" s="10" t="s">
        <v>7</v>
      </c>
      <c r="B2" s="92">
        <f>sumif(Entry!B2:M518,A2,Entry!C2:C518)</f>
        <v>5671614</v>
      </c>
      <c r="C2" s="93">
        <f>sumif(Entry!B2:M518,A2,Entry!F2:F518)</f>
        <v>609030</v>
      </c>
      <c r="D2" s="93">
        <f>sumif(Entry!B2:M518,A2,Entry!G2:G518)</f>
        <v>0</v>
      </c>
      <c r="E2" s="94">
        <f>sumif(Entry!B2:M518,A2,Entry!L2:L518)</f>
        <v>7669</v>
      </c>
      <c r="F2" s="92">
        <f t="shared" ref="F2:F8" si="1">(B2-C2)/E2</f>
        <v>660.1361325</v>
      </c>
    </row>
    <row r="3" ht="24.75" customHeight="1">
      <c r="A3" s="10" t="s">
        <v>8</v>
      </c>
      <c r="B3" s="92">
        <f>sumif(Entry!B2:L518,A3,Entry!C2:C518)</f>
        <v>2069670</v>
      </c>
      <c r="C3" s="93">
        <f>sumif(Entry!B2:M518,A3,Entry!F2:F518)</f>
        <v>19133</v>
      </c>
      <c r="D3" s="93">
        <f>sumif(Entry!B2:L518,A3,Entry!G2:G518)</f>
        <v>121151</v>
      </c>
      <c r="E3" s="94">
        <f>sumif(Entry!B2:M518,A3,Entry!L2:L518)</f>
        <v>3663</v>
      </c>
      <c r="F3" s="92">
        <f t="shared" si="1"/>
        <v>559.7971608</v>
      </c>
    </row>
    <row r="4" ht="24.75" customHeight="1">
      <c r="A4" s="10" t="s">
        <v>9</v>
      </c>
      <c r="B4" s="92">
        <f>sumif(Entry!B2:L518,A4,Entry!C2:C518)</f>
        <v>2654166</v>
      </c>
      <c r="C4" s="93">
        <f>sumif(Entry!B2:M518,A4,Entry!F2:F518)</f>
        <v>2597</v>
      </c>
      <c r="D4" s="93">
        <f>sumif(Entry!B2:N518,A4,Entry!G2:G518)</f>
        <v>146</v>
      </c>
      <c r="E4" s="94">
        <f>sumif(Entry!B2:M518,A4,Entry!L2:L518)</f>
        <v>4242</v>
      </c>
      <c r="F4" s="92">
        <f t="shared" si="1"/>
        <v>625.0752004</v>
      </c>
    </row>
    <row r="5" ht="24.75" customHeight="1">
      <c r="A5" s="10" t="s">
        <v>10</v>
      </c>
      <c r="B5" s="92">
        <f>sumif(Entry!B2:L518,A5,Entry!C2:C518)</f>
        <v>2628659</v>
      </c>
      <c r="C5" s="93">
        <f>sumif(Entry!B2:M518,A5,Entry!F2:F518)</f>
        <v>31922</v>
      </c>
      <c r="D5" s="93">
        <f>sumif(Entry!B2:N518,A5,Entry!G2:G518)</f>
        <v>91013</v>
      </c>
      <c r="E5" s="94">
        <f>sumif(Entry!B2:M518,A5,Entry!L2:L518)</f>
        <v>5397</v>
      </c>
      <c r="F5" s="92">
        <f t="shared" si="1"/>
        <v>481.1445247</v>
      </c>
    </row>
    <row r="6" ht="24.75" customHeight="1">
      <c r="A6" s="10" t="s">
        <v>11</v>
      </c>
      <c r="B6" s="92">
        <f>sumif(Entry!B2:L518,A6,Entry!C2:C518)</f>
        <v>1787312</v>
      </c>
      <c r="C6" s="93">
        <f>sumif(Entry!B2:M518,A6,Entry!F2:F518)</f>
        <v>21855</v>
      </c>
      <c r="D6" s="93">
        <f>sumif(Entry!B2:N518,A6,Entry!G2:G518)</f>
        <v>21300</v>
      </c>
      <c r="E6" s="94">
        <f>sumif(Entry!B2:M518,A6,Entry!L2:L518)</f>
        <v>3798</v>
      </c>
      <c r="F6" s="92">
        <f t="shared" si="1"/>
        <v>464.8385993</v>
      </c>
    </row>
    <row r="7" ht="24.75" customHeight="1">
      <c r="A7" s="10" t="s">
        <v>12</v>
      </c>
      <c r="B7" s="92">
        <f>sumif(Entry!B2:L518,A7,Entry!C2:C518)</f>
        <v>1360807</v>
      </c>
      <c r="C7" s="93">
        <f>sumif(Entry!B2:M518,A7,Entry!F2:F518)</f>
        <v>5598</v>
      </c>
      <c r="D7" s="93">
        <f>sumif(Entry!B2:N518,A7,Entry!G2:G518)</f>
        <v>35905</v>
      </c>
      <c r="E7" s="94">
        <f>sumif(Entry!B2:M518,A7,Entry!L2:L518)</f>
        <v>2710</v>
      </c>
      <c r="F7" s="92">
        <f t="shared" si="1"/>
        <v>500.0771218</v>
      </c>
    </row>
    <row r="8" ht="24.75" customHeight="1">
      <c r="A8" s="10" t="s">
        <v>13</v>
      </c>
      <c r="B8" s="92">
        <f>sumif(Entry!B2:L518,A8,Entry!C2:C518)</f>
        <v>4684492</v>
      </c>
      <c r="C8" s="93">
        <f>sumif(Entry!B2:M518,A8,Entry!F2:F518)</f>
        <v>3090804</v>
      </c>
      <c r="D8" s="93">
        <f>sumif(Entry!B2:N518,A8,Entry!G2:G518)</f>
        <v>6713210</v>
      </c>
      <c r="E8" s="94">
        <f>sumif(Entry!B2:M518,A8,Entry!L2:L518)</f>
        <v>2259</v>
      </c>
      <c r="F8" s="92">
        <f t="shared" si="1"/>
        <v>705.4838424</v>
      </c>
    </row>
    <row r="9" ht="31.5" customHeight="1">
      <c r="A9" s="14" t="s">
        <v>14</v>
      </c>
      <c r="B9" s="95">
        <f>sum(B2:B8)</f>
        <v>20856720</v>
      </c>
      <c r="C9" s="3"/>
      <c r="D9" s="14" t="s">
        <v>15</v>
      </c>
      <c r="E9" s="16">
        <f>SUM(E2:E8)</f>
        <v>29738</v>
      </c>
      <c r="F9" s="17"/>
    </row>
  </sheetData>
  <autoFilter ref="$A$1:$F$9"/>
  <mergeCells count="1">
    <mergeCell ref="B9:C9"/>
  </mergeCells>
  <conditionalFormatting sqref="A2:A8">
    <cfRule type="expression" dxfId="1" priority="1">
      <formula>#REF! = 0</formula>
    </cfRule>
  </conditionalFormatting>
  <conditionalFormatting sqref="A1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3.25"/>
    <col customWidth="1" min="3" max="3" width="8.75"/>
    <col customWidth="1" min="4" max="4" width="14.75"/>
    <col customWidth="1" min="5" max="5" width="14.25"/>
    <col customWidth="1" min="6" max="6" width="14.88"/>
  </cols>
  <sheetData>
    <row r="1">
      <c r="A1" s="1" t="s">
        <v>1</v>
      </c>
      <c r="B1" s="8" t="s">
        <v>2</v>
      </c>
      <c r="C1" s="9" t="s">
        <v>3</v>
      </c>
      <c r="D1" s="9" t="s">
        <v>4</v>
      </c>
      <c r="E1" s="8" t="s">
        <v>5</v>
      </c>
      <c r="F1" s="8" t="s">
        <v>6</v>
      </c>
    </row>
    <row r="2" ht="24.75" customHeight="1">
      <c r="A2" s="10" t="s">
        <v>7</v>
      </c>
      <c r="B2" s="96">
        <f>sumifs(Entry!D2:D264,Entry!C2:C264,A2,Entry!B2:B264,Summary!G1)</f>
        <v>313337</v>
      </c>
      <c r="C2" s="96">
        <f>sumifs(Entry!G2:G264,Entry!C2:C264,A2,Entry!B2:B264,Summary!G1)</f>
        <v>26430</v>
      </c>
      <c r="D2" s="96">
        <f>sumifs(Entry!H2:H264,Entry!C2:C264,A2,Entry!B2:B264,Summary!G1)</f>
        <v>0</v>
      </c>
      <c r="E2" s="97">
        <f>sumifs(Entry!M2:M264,Entry!C2:C264,A2,Entry!B2:B264,Summary!G1)</f>
        <v>387</v>
      </c>
      <c r="F2" s="97">
        <f t="shared" ref="F2:F8" si="1">(B2-C2)/E2</f>
        <v>741.3617571</v>
      </c>
    </row>
    <row r="3" ht="24.75" customHeight="1">
      <c r="A3" s="10" t="s">
        <v>8</v>
      </c>
      <c r="B3" s="96">
        <f>sumifs(Entry!D2:D264,Entry!C2:C264,A3,Entry!B2:B264,Summary!G1)</f>
        <v>86675</v>
      </c>
      <c r="C3" s="96">
        <f>sumifs(Entry!G2:G264,Entry!C2:C264,A3,Entry!B2:B264,Summary!G1)</f>
        <v>0</v>
      </c>
      <c r="D3" s="96">
        <f>sumifs(Entry!H2:H264,Entry!C2:C264,A3,Entry!B2:B264,Summary!G1)</f>
        <v>3347</v>
      </c>
      <c r="E3" s="97">
        <f>sumifs(Entry!M2:M264,Entry!C2:C264,A3,Entry!B2:B264,Summary!G1)</f>
        <v>185</v>
      </c>
      <c r="F3" s="97">
        <f t="shared" si="1"/>
        <v>468.5135135</v>
      </c>
    </row>
    <row r="4" ht="24.75" customHeight="1">
      <c r="A4" s="10" t="s">
        <v>9</v>
      </c>
      <c r="B4" s="96">
        <f>sumifs(Entry!D2:D264,Entry!C2:C264,A4,Entry!B2:B264,Summary!G1)</f>
        <v>0</v>
      </c>
      <c r="C4" s="96">
        <f>sumifs(Entry!G2:G264,Entry!C2:C264,A4,Entry!B2:B264,Summary!G1)</f>
        <v>0</v>
      </c>
      <c r="D4" s="96">
        <f>sumifs(Entry!H2:H264,Entry!C2:C264,A4,Entry!B2:B264,Summary!G1)</f>
        <v>0</v>
      </c>
      <c r="E4" s="97">
        <f>sumifs(Entry!M2:M264,Entry!C2:C264,A4,Entry!B2:B264,Summary!G1)</f>
        <v>0</v>
      </c>
      <c r="F4" s="97" t="str">
        <f t="shared" si="1"/>
        <v>#DIV/0!</v>
      </c>
    </row>
    <row r="5" ht="24.75" customHeight="1">
      <c r="A5" s="10" t="s">
        <v>10</v>
      </c>
      <c r="B5" s="96">
        <f>sumifs(Entry!D2:D264,Entry!C2:C264,A5,Entry!B2:B264,Summary!G1)</f>
        <v>100907</v>
      </c>
      <c r="C5" s="96">
        <f>sumifs(Entry!G2:G264,Entry!C2:C264,A5,Entry!B2:B264,Summary!G1)</f>
        <v>0</v>
      </c>
      <c r="D5" s="96">
        <f>sumifs(Entry!H2:H264,Entry!C2:C264,A5,Entry!B2:B264,Summary!G1)</f>
        <v>11907</v>
      </c>
      <c r="E5" s="97">
        <f>sumifs(Entry!M2:M264,Entry!C2:C264,A5,Entry!B2:B264,Summary!G1)</f>
        <v>517</v>
      </c>
      <c r="F5" s="97">
        <f t="shared" si="1"/>
        <v>195.1779497</v>
      </c>
    </row>
    <row r="6" ht="24.75" customHeight="1">
      <c r="A6" s="10" t="s">
        <v>11</v>
      </c>
      <c r="B6" s="96">
        <f>sumifs(Entry!D2:D264,Entry!C2:C264,A6,Entry!B2:B264,Summary!G1)</f>
        <v>99031</v>
      </c>
      <c r="C6" s="96">
        <f>sumifs(Entry!G2:G264,Entry!C2:C264,A6,Entry!B2:B264,#REF!)</f>
        <v>0</v>
      </c>
      <c r="D6" s="96">
        <f>sumifs(Entry!H2:H264,Entry!C2:C264,A6,Entry!B2:B264,Summary!G1)</f>
        <v>0</v>
      </c>
      <c r="E6" s="97">
        <f>sumifs(Entry!M2:M264,Entry!C2:C264,A6,Entry!B2:B264,Summary!G1)</f>
        <v>197</v>
      </c>
      <c r="F6" s="97">
        <f t="shared" si="1"/>
        <v>502.6954315</v>
      </c>
    </row>
    <row r="7" ht="24.75" customHeight="1">
      <c r="A7" s="10" t="s">
        <v>12</v>
      </c>
      <c r="B7" s="96">
        <f>sumifs(Entry!D2:D264,Entry!C2:C264,A7,Entry!B2:B264,Summary!G1)</f>
        <v>86086</v>
      </c>
      <c r="C7" s="96">
        <f>sumifs(Entry!G2:G264,Entry!C2:C264,A7,Entry!B2:B264,Summary!G1)</f>
        <v>0</v>
      </c>
      <c r="D7" s="96">
        <f>sumifs(Entry!H2:H264,Entry!C2:C264,A7,Entry!B2:B264,Summary!G1)</f>
        <v>3919</v>
      </c>
      <c r="E7" s="97">
        <f>sumifs(Entry!M2:M264,Entry!C2:C264,A7,Entry!B2:B264,Summary!G1)</f>
        <v>147</v>
      </c>
      <c r="F7" s="97">
        <f t="shared" si="1"/>
        <v>585.6190476</v>
      </c>
    </row>
    <row r="8" ht="24.75" customHeight="1">
      <c r="A8" s="10" t="s">
        <v>13</v>
      </c>
      <c r="B8" s="96">
        <f>sumifs(Entry!D8:D270,Entry!C8:C270,A8,Entry!B8:B270,Summary!G1)</f>
        <v>0</v>
      </c>
      <c r="C8" s="96">
        <f>sumifs(Entry!G2:G264,Entry!C2:C264,A8,Entry!B2:B264,Summary!G1)</f>
        <v>0</v>
      </c>
      <c r="D8" s="96">
        <f>sumifs(Entry!H2:H264,Entry!C2:C264,A8,Entry!B2:B264,Summary!G1)</f>
        <v>0</v>
      </c>
      <c r="E8" s="97">
        <f>sumifs(Entry!M2:M264,Entry!C2:C264,A8,Entry!B2:B264,Summary!G1)</f>
        <v>0</v>
      </c>
      <c r="F8" s="97" t="str">
        <f t="shared" si="1"/>
        <v>#DIV/0!</v>
      </c>
    </row>
    <row r="9" ht="31.5" customHeight="1">
      <c r="A9" s="14" t="s">
        <v>16</v>
      </c>
      <c r="B9" s="3"/>
      <c r="C9" s="98">
        <f>sum(B2:B8)</f>
        <v>686036</v>
      </c>
      <c r="D9" s="3"/>
      <c r="E9" s="20" t="s">
        <v>17</v>
      </c>
      <c r="F9" s="21">
        <f>sum(E2:E8)</f>
        <v>1433</v>
      </c>
    </row>
  </sheetData>
  <autoFilter ref="$A$1:$F$9"/>
  <mergeCells count="2">
    <mergeCell ref="A9:B9"/>
    <mergeCell ref="C9:D9"/>
  </mergeCells>
  <conditionalFormatting sqref="A2:A8">
    <cfRule type="expression" dxfId="1" priority="1">
      <formula>B2:B8 = 0</formula>
    </cfRule>
  </conditionalFormatting>
  <conditionalFormatting sqref="A1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3" max="3" width="18.63"/>
    <col customWidth="1" min="4" max="4" width="13.63"/>
    <col customWidth="1" min="5" max="5" width="12.0"/>
    <col customWidth="1" min="6" max="6" width="11.0"/>
    <col customWidth="1" min="7" max="7" width="12.13"/>
    <col customWidth="1" min="8" max="8" width="9.0"/>
    <col customWidth="1" min="9" max="9" width="9.5"/>
    <col customWidth="1" min="10" max="10" width="11.5"/>
    <col customWidth="1" min="11" max="11" width="11.75"/>
    <col customWidth="1" min="12" max="12" width="11.25"/>
    <col customWidth="1" min="13" max="13" width="8.75"/>
    <col customWidth="1" min="14" max="14" width="8.63"/>
    <col customWidth="1" min="15" max="15" width="8.88"/>
    <col customWidth="1" min="16" max="16" width="8.5"/>
    <col customWidth="1" min="17" max="17" width="12.38"/>
    <col customWidth="1" min="18" max="18" width="6.13"/>
    <col customWidth="1" min="19" max="19" width="6.5"/>
    <col customWidth="1" min="20" max="20" width="6.0"/>
    <col customWidth="1" min="21" max="21" width="8.63"/>
  </cols>
  <sheetData>
    <row r="1">
      <c r="A1" s="99" t="s">
        <v>36</v>
      </c>
      <c r="B1" s="100" t="s">
        <v>19</v>
      </c>
      <c r="C1" s="101" t="s">
        <v>1</v>
      </c>
      <c r="D1" s="101" t="s">
        <v>21</v>
      </c>
      <c r="E1" s="101" t="s">
        <v>22</v>
      </c>
      <c r="F1" s="102" t="s">
        <v>23</v>
      </c>
      <c r="G1" s="101" t="s">
        <v>24</v>
      </c>
      <c r="H1" s="101" t="s">
        <v>25</v>
      </c>
      <c r="I1" s="101" t="s">
        <v>26</v>
      </c>
      <c r="J1" s="101" t="s">
        <v>27</v>
      </c>
      <c r="K1" s="101" t="s">
        <v>37</v>
      </c>
      <c r="L1" s="101" t="s">
        <v>29</v>
      </c>
      <c r="M1" s="103" t="s">
        <v>30</v>
      </c>
      <c r="O1" s="104" t="s">
        <v>38</v>
      </c>
      <c r="P1" s="104" t="s">
        <v>15</v>
      </c>
      <c r="Q1" s="104" t="s">
        <v>6</v>
      </c>
      <c r="R1" s="105"/>
      <c r="S1" s="105"/>
      <c r="T1" s="105"/>
      <c r="U1" s="105"/>
    </row>
    <row r="2">
      <c r="A2" s="106">
        <f>IFERROR(__xludf.DUMMYFUNCTION("filter(All_Stores_Collection_Data,All_Stores_Collection_Data[Store]=""A11 SRI CHAIATNYA"")"),45659.90538966435)</f>
        <v>45659.90539</v>
      </c>
      <c r="B2" s="107">
        <f>IFERROR(__xludf.DUMMYFUNCTION("""COMPUTED_VALUE"""),45658.0)</f>
        <v>45658</v>
      </c>
      <c r="C2" s="108" t="str">
        <f>IFERROR(__xludf.DUMMYFUNCTION("""COMPUTED_VALUE"""),"A11 SRI CHAIATNYA")</f>
        <v>A11 SRI CHAIATNYA</v>
      </c>
      <c r="D2" s="109">
        <f>IFERROR(__xludf.DUMMYFUNCTION("""COMPUTED_VALUE"""),183632.0)</f>
        <v>183632</v>
      </c>
      <c r="E2" s="109">
        <f>IFERROR(__xludf.DUMMYFUNCTION("""COMPUTED_VALUE"""),62793.0)</f>
        <v>62793</v>
      </c>
      <c r="F2" s="110">
        <f>IFERROR(__xludf.DUMMYFUNCTION("""COMPUTED_VALUE"""),45734.0)</f>
        <v>45734</v>
      </c>
      <c r="G2" s="109">
        <f>IFERROR(__xludf.DUMMYFUNCTION("""COMPUTED_VALUE"""),13262.0)</f>
        <v>13262</v>
      </c>
      <c r="H2" s="109">
        <f>IFERROR(__xludf.DUMMYFUNCTION("""COMPUTED_VALUE"""),0.0)</f>
        <v>0</v>
      </c>
      <c r="I2" s="109">
        <f>IFERROR(__xludf.DUMMYFUNCTION("""COMPUTED_VALUE"""),90097.0)</f>
        <v>90097</v>
      </c>
      <c r="J2" s="109">
        <f>IFERROR(__xludf.DUMMYFUNCTION("""COMPUTED_VALUE"""),90342.0)</f>
        <v>90342</v>
      </c>
      <c r="K2" s="109">
        <f>IFERROR(__xludf.DUMMYFUNCTION("""COMPUTED_VALUE"""),34100.0)</f>
        <v>34100</v>
      </c>
      <c r="L2" s="109">
        <f>IFERROR(__xludf.DUMMYFUNCTION("""COMPUTED_VALUE"""),31694.0)</f>
        <v>31694</v>
      </c>
      <c r="M2" s="111">
        <f>IFERROR(__xludf.DUMMYFUNCTION("""COMPUTED_VALUE"""),245.0)</f>
        <v>245</v>
      </c>
      <c r="N2" s="112"/>
      <c r="O2" s="113">
        <f>D32</f>
        <v>5671614</v>
      </c>
      <c r="P2" s="114">
        <f>sum(M1:M31)</f>
        <v>7669</v>
      </c>
      <c r="Q2" s="115">
        <f>(sum(D1:D31)-Sum(G1:G31))/P2</f>
        <v>660.1361325</v>
      </c>
      <c r="R2" s="114"/>
      <c r="S2" s="114"/>
      <c r="T2" s="115"/>
      <c r="U2" s="115"/>
    </row>
    <row r="3">
      <c r="A3" s="116">
        <f>IFERROR(__xludf.DUMMYFUNCTION("""COMPUTED_VALUE"""),45659.94186943287)</f>
        <v>45659.94187</v>
      </c>
      <c r="B3" s="117">
        <f>IFERROR(__xludf.DUMMYFUNCTION("""COMPUTED_VALUE"""),45659.0)</f>
        <v>45659</v>
      </c>
      <c r="C3" s="118" t="str">
        <f>IFERROR(__xludf.DUMMYFUNCTION("""COMPUTED_VALUE"""),"A11 SRI CHAIATNYA")</f>
        <v>A11 SRI CHAIATNYA</v>
      </c>
      <c r="D3" s="119">
        <f>IFERROR(__xludf.DUMMYFUNCTION("""COMPUTED_VALUE"""),310387.0)</f>
        <v>310387</v>
      </c>
      <c r="E3" s="119">
        <f>IFERROR(__xludf.DUMMYFUNCTION("""COMPUTED_VALUE"""),126177.0)</f>
        <v>126177</v>
      </c>
      <c r="F3" s="120">
        <f>IFERROR(__xludf.DUMMYFUNCTION("""COMPUTED_VALUE"""),84837.0)</f>
        <v>84837</v>
      </c>
      <c r="G3" s="119">
        <f>IFERROR(__xludf.DUMMYFUNCTION("""COMPUTED_VALUE"""),14230.0)</f>
        <v>14230</v>
      </c>
      <c r="H3" s="119">
        <f>IFERROR(__xludf.DUMMYFUNCTION("""COMPUTED_VALUE"""),0.0)</f>
        <v>0</v>
      </c>
      <c r="I3" s="119">
        <f>IFERROR(__xludf.DUMMYFUNCTION("""COMPUTED_VALUE"""),90343.0)</f>
        <v>90343</v>
      </c>
      <c r="J3" s="119">
        <f>IFERROR(__xludf.DUMMYFUNCTION("""COMPUTED_VALUE"""),90745.0)</f>
        <v>90745</v>
      </c>
      <c r="K3" s="119">
        <f>IFERROR(__xludf.DUMMYFUNCTION("""COMPUTED_VALUE"""),30200.0)</f>
        <v>30200</v>
      </c>
      <c r="L3" s="119">
        <f>IFERROR(__xludf.DUMMYFUNCTION("""COMPUTED_VALUE"""),770.0)</f>
        <v>770</v>
      </c>
      <c r="M3" s="119">
        <f>IFERROR(__xludf.DUMMYFUNCTION("""COMPUTED_VALUE"""),402.0)</f>
        <v>402</v>
      </c>
    </row>
    <row r="4">
      <c r="A4" s="116">
        <f>IFERROR(__xludf.DUMMYFUNCTION("""COMPUTED_VALUE"""),45660.9499631713)</f>
        <v>45660.94996</v>
      </c>
      <c r="B4" s="117">
        <f>IFERROR(__xludf.DUMMYFUNCTION("""COMPUTED_VALUE"""),45660.0)</f>
        <v>45660</v>
      </c>
      <c r="C4" s="118" t="str">
        <f>IFERROR(__xludf.DUMMYFUNCTION("""COMPUTED_VALUE"""),"A11 SRI CHAIATNYA")</f>
        <v>A11 SRI CHAIATNYA</v>
      </c>
      <c r="D4" s="119">
        <f>IFERROR(__xludf.DUMMYFUNCTION("""COMPUTED_VALUE"""),311094.0)</f>
        <v>311094</v>
      </c>
      <c r="E4" s="119">
        <f>IFERROR(__xludf.DUMMYFUNCTION("""COMPUTED_VALUE"""),53977.0)</f>
        <v>53977</v>
      </c>
      <c r="F4" s="120">
        <f>IFERROR(__xludf.DUMMYFUNCTION("""COMPUTED_VALUE"""),139656.0)</f>
        <v>139656</v>
      </c>
      <c r="G4" s="119">
        <f>IFERROR(__xludf.DUMMYFUNCTION("""COMPUTED_VALUE"""),5126.0)</f>
        <v>5126</v>
      </c>
      <c r="H4" s="119">
        <f>IFERROR(__xludf.DUMMYFUNCTION("""COMPUTED_VALUE"""),0.0)</f>
        <v>0</v>
      </c>
      <c r="I4" s="119">
        <f>IFERROR(__xludf.DUMMYFUNCTION("""COMPUTED_VALUE"""),90746.0)</f>
        <v>90746</v>
      </c>
      <c r="J4" s="119">
        <f>IFERROR(__xludf.DUMMYFUNCTION("""COMPUTED_VALUE"""),91187.0)</f>
        <v>91187</v>
      </c>
      <c r="K4" s="119">
        <f>IFERROR(__xludf.DUMMYFUNCTION("""COMPUTED_VALUE"""),84600.0)</f>
        <v>84600</v>
      </c>
      <c r="L4" s="119">
        <f>IFERROR(__xludf.DUMMYFUNCTION("""COMPUTED_VALUE"""),2674.0)</f>
        <v>2674</v>
      </c>
      <c r="M4" s="119">
        <f>IFERROR(__xludf.DUMMYFUNCTION("""COMPUTED_VALUE"""),441.0)</f>
        <v>441</v>
      </c>
    </row>
    <row r="5">
      <c r="A5" s="116">
        <f>IFERROR(__xludf.DUMMYFUNCTION("""COMPUTED_VALUE"""),45661.942906620374)</f>
        <v>45661.94291</v>
      </c>
      <c r="B5" s="117">
        <f>IFERROR(__xludf.DUMMYFUNCTION("""COMPUTED_VALUE"""),45661.0)</f>
        <v>45661</v>
      </c>
      <c r="C5" s="118" t="str">
        <f>IFERROR(__xludf.DUMMYFUNCTION("""COMPUTED_VALUE"""),"A11 SRI CHAIATNYA")</f>
        <v>A11 SRI CHAIATNYA</v>
      </c>
      <c r="D5" s="119">
        <f>IFERROR(__xludf.DUMMYFUNCTION("""COMPUTED_VALUE"""),330319.0)</f>
        <v>330319</v>
      </c>
      <c r="E5" s="119">
        <f>IFERROR(__xludf.DUMMYFUNCTION("""COMPUTED_VALUE"""),68839.0)</f>
        <v>68839</v>
      </c>
      <c r="F5" s="120">
        <f>IFERROR(__xludf.DUMMYFUNCTION("""COMPUTED_VALUE"""),144052.0)</f>
        <v>144052</v>
      </c>
      <c r="G5" s="119">
        <f>IFERROR(__xludf.DUMMYFUNCTION("""COMPUTED_VALUE"""),21242.0)</f>
        <v>21242</v>
      </c>
      <c r="H5" s="119">
        <f>IFERROR(__xludf.DUMMYFUNCTION("""COMPUTED_VALUE"""),0.0)</f>
        <v>0</v>
      </c>
      <c r="I5" s="119">
        <f>IFERROR(__xludf.DUMMYFUNCTION("""COMPUTED_VALUE"""),91188.0)</f>
        <v>91188</v>
      </c>
      <c r="J5" s="119">
        <f>IFERROR(__xludf.DUMMYFUNCTION("""COMPUTED_VALUE"""),91614.0)</f>
        <v>91614</v>
      </c>
      <c r="K5" s="119">
        <f>IFERROR(__xludf.DUMMYFUNCTION("""COMPUTED_VALUE"""),114600.0)</f>
        <v>114600</v>
      </c>
      <c r="L5" s="119">
        <f>IFERROR(__xludf.DUMMYFUNCTION("""COMPUTED_VALUE"""),654.0)</f>
        <v>654</v>
      </c>
      <c r="M5" s="119">
        <f>IFERROR(__xludf.DUMMYFUNCTION("""COMPUTED_VALUE"""),426.0)</f>
        <v>426</v>
      </c>
      <c r="O5" s="104" t="s">
        <v>39</v>
      </c>
      <c r="R5" s="105"/>
      <c r="S5" s="105"/>
      <c r="T5" s="105"/>
      <c r="U5" s="105"/>
    </row>
    <row r="6">
      <c r="A6" s="116">
        <f>IFERROR(__xludf.DUMMYFUNCTION("""COMPUTED_VALUE"""),45664.76630328703)</f>
        <v>45664.7663</v>
      </c>
      <c r="B6" s="117">
        <f>IFERROR(__xludf.DUMMYFUNCTION("""COMPUTED_VALUE"""),45662.0)</f>
        <v>45662</v>
      </c>
      <c r="C6" s="118" t="str">
        <f>IFERROR(__xludf.DUMMYFUNCTION("""COMPUTED_VALUE"""),"A11 SRI CHAIATNYA")</f>
        <v>A11 SRI CHAIATNYA</v>
      </c>
      <c r="D6" s="119">
        <f>IFERROR(__xludf.DUMMYFUNCTION("""COMPUTED_VALUE"""),205427.0)</f>
        <v>205427</v>
      </c>
      <c r="E6" s="119">
        <f>IFERROR(__xludf.DUMMYFUNCTION("""COMPUTED_VALUE"""),44420.0)</f>
        <v>44420</v>
      </c>
      <c r="F6" s="120">
        <f>IFERROR(__xludf.DUMMYFUNCTION("""COMPUTED_VALUE"""),90618.0)</f>
        <v>90618</v>
      </c>
      <c r="G6" s="119">
        <f>IFERROR(__xludf.DUMMYFUNCTION("""COMPUTED_VALUE"""),5435.0)</f>
        <v>5435</v>
      </c>
      <c r="H6" s="119">
        <f>IFERROR(__xludf.DUMMYFUNCTION("""COMPUTED_VALUE"""),0.0)</f>
        <v>0</v>
      </c>
      <c r="I6" s="119">
        <f>IFERROR(__xludf.DUMMYFUNCTION("""COMPUTED_VALUE"""),91615.0)</f>
        <v>91615</v>
      </c>
      <c r="J6" s="119">
        <f>IFERROR(__xludf.DUMMYFUNCTION("""COMPUTED_VALUE"""),91925.0)</f>
        <v>91925</v>
      </c>
      <c r="K6" s="119">
        <f>IFERROR(__xludf.DUMMYFUNCTION("""COMPUTED_VALUE"""),0.0)</f>
        <v>0</v>
      </c>
      <c r="L6" s="119">
        <f>IFERROR(__xludf.DUMMYFUNCTION("""COMPUTED_VALUE"""),3968.0)</f>
        <v>3968</v>
      </c>
      <c r="M6" s="119">
        <f>IFERROR(__xludf.DUMMYFUNCTION("""COMPUTED_VALUE"""),310.0)</f>
        <v>310</v>
      </c>
      <c r="O6" s="114">
        <f>SUMIF(A2:M31,Entry!B259,C2:C31)</f>
        <v>0</v>
      </c>
      <c r="P6" s="114" t="str">
        <f>VLOOKUP(Entry!B259,B:M,12,0)</f>
        <v>#REF!</v>
      </c>
      <c r="Q6" s="115" t="str">
        <f>(O6-Vlookup(Entry!B259,B:M,6,0))/P6</f>
        <v>#REF!</v>
      </c>
      <c r="R6" s="114"/>
      <c r="S6" s="114"/>
      <c r="T6" s="115"/>
      <c r="U6" s="115"/>
    </row>
    <row r="7">
      <c r="A7" s="116">
        <f>IFERROR(__xludf.DUMMYFUNCTION("""COMPUTED_VALUE"""),45663.93153310185)</f>
        <v>45663.93153</v>
      </c>
      <c r="B7" s="117">
        <f>IFERROR(__xludf.DUMMYFUNCTION("""COMPUTED_VALUE"""),45663.0)</f>
        <v>45663</v>
      </c>
      <c r="C7" s="118" t="str">
        <f>IFERROR(__xludf.DUMMYFUNCTION("""COMPUTED_VALUE"""),"A11 SRI CHAIATNYA")</f>
        <v>A11 SRI CHAIATNYA</v>
      </c>
      <c r="D7" s="119">
        <f>IFERROR(__xludf.DUMMYFUNCTION("""COMPUTED_VALUE"""),304667.0)</f>
        <v>304667</v>
      </c>
      <c r="E7" s="119">
        <f>IFERROR(__xludf.DUMMYFUNCTION("""COMPUTED_VALUE"""),63352.0)</f>
        <v>63352</v>
      </c>
      <c r="F7" s="120">
        <f>IFERROR(__xludf.DUMMYFUNCTION("""COMPUTED_VALUE"""),130350.0)</f>
        <v>130350</v>
      </c>
      <c r="G7" s="119">
        <f>IFERROR(__xludf.DUMMYFUNCTION("""COMPUTED_VALUE"""),11457.0)</f>
        <v>11457</v>
      </c>
      <c r="H7" s="119">
        <f>IFERROR(__xludf.DUMMYFUNCTION("""COMPUTED_VALUE"""),0.0)</f>
        <v>0</v>
      </c>
      <c r="I7" s="119">
        <f>IFERROR(__xludf.DUMMYFUNCTION("""COMPUTED_VALUE"""),91926.0)</f>
        <v>91926</v>
      </c>
      <c r="J7" s="119">
        <f>IFERROR(__xludf.DUMMYFUNCTION("""COMPUTED_VALUE"""),92356.0)</f>
        <v>92356</v>
      </c>
      <c r="K7" s="119">
        <f>IFERROR(__xludf.DUMMYFUNCTION("""COMPUTED_VALUE"""),165500.0)</f>
        <v>165500</v>
      </c>
      <c r="L7" s="119">
        <f>IFERROR(__xludf.DUMMYFUNCTION("""COMPUTED_VALUE"""),8007.0)</f>
        <v>8007</v>
      </c>
      <c r="M7" s="119">
        <f>IFERROR(__xludf.DUMMYFUNCTION("""COMPUTED_VALUE"""),430.0)</f>
        <v>430</v>
      </c>
    </row>
    <row r="8">
      <c r="A8" s="116">
        <f>IFERROR(__xludf.DUMMYFUNCTION("""COMPUTED_VALUE"""),45664.9466715625)</f>
        <v>45664.94667</v>
      </c>
      <c r="B8" s="117">
        <f>IFERROR(__xludf.DUMMYFUNCTION("""COMPUTED_VALUE"""),45664.0)</f>
        <v>45664</v>
      </c>
      <c r="C8" s="118" t="str">
        <f>IFERROR(__xludf.DUMMYFUNCTION("""COMPUTED_VALUE"""),"A11 SRI CHAIATNYA")</f>
        <v>A11 SRI CHAIATNYA</v>
      </c>
      <c r="D8" s="119">
        <f>IFERROR(__xludf.DUMMYFUNCTION("""COMPUTED_VALUE"""),256995.0)</f>
        <v>256995</v>
      </c>
      <c r="E8" s="119">
        <f>IFERROR(__xludf.DUMMYFUNCTION("""COMPUTED_VALUE"""),114805.0)</f>
        <v>114805</v>
      </c>
      <c r="F8" s="121" t="str">
        <f>IFERROR(__xludf.DUMMYFUNCTION("""COMPUTED_VALUE"""),"49367'")</f>
        <v>49367'</v>
      </c>
      <c r="G8" s="119">
        <f>IFERROR(__xludf.DUMMYFUNCTION("""COMPUTED_VALUE"""),6558.0)</f>
        <v>6558</v>
      </c>
      <c r="H8" s="119">
        <f>IFERROR(__xludf.DUMMYFUNCTION("""COMPUTED_VALUE"""),0.0)</f>
        <v>0</v>
      </c>
      <c r="I8" s="119">
        <f>IFERROR(__xludf.DUMMYFUNCTION("""COMPUTED_VALUE"""),92357.0)</f>
        <v>92357</v>
      </c>
      <c r="J8" s="119">
        <f>IFERROR(__xludf.DUMMYFUNCTION("""COMPUTED_VALUE"""),92740.0)</f>
        <v>92740</v>
      </c>
      <c r="K8" s="119">
        <f>IFERROR(__xludf.DUMMYFUNCTION("""COMPUTED_VALUE"""),54000.0)</f>
        <v>54000</v>
      </c>
      <c r="L8" s="119">
        <f>IFERROR(__xludf.DUMMYFUNCTION("""COMPUTED_VALUE"""),42743.0)</f>
        <v>42743</v>
      </c>
      <c r="M8" s="119">
        <f>IFERROR(__xludf.DUMMYFUNCTION("""COMPUTED_VALUE"""),383.0)</f>
        <v>383</v>
      </c>
    </row>
    <row r="9">
      <c r="A9" s="116">
        <f>IFERROR(__xludf.DUMMYFUNCTION("""COMPUTED_VALUE"""),45665.94405789352)</f>
        <v>45665.94406</v>
      </c>
      <c r="B9" s="117">
        <f>IFERROR(__xludf.DUMMYFUNCTION("""COMPUTED_VALUE"""),45665.0)</f>
        <v>45665</v>
      </c>
      <c r="C9" s="118" t="str">
        <f>IFERROR(__xludf.DUMMYFUNCTION("""COMPUTED_VALUE"""),"A11 SRI CHAIATNYA")</f>
        <v>A11 SRI CHAIATNYA</v>
      </c>
      <c r="D9" s="119">
        <f>IFERROR(__xludf.DUMMYFUNCTION("""COMPUTED_VALUE"""),294955.0)</f>
        <v>294955</v>
      </c>
      <c r="E9" s="119">
        <f>IFERROR(__xludf.DUMMYFUNCTION("""COMPUTED_VALUE"""),120945.0)</f>
        <v>120945</v>
      </c>
      <c r="F9" s="120">
        <f>IFERROR(__xludf.DUMMYFUNCTION("""COMPUTED_VALUE"""),66215.0)</f>
        <v>66215</v>
      </c>
      <c r="G9" s="119">
        <f>IFERROR(__xludf.DUMMYFUNCTION("""COMPUTED_VALUE"""),38820.0)</f>
        <v>38820</v>
      </c>
      <c r="H9" s="119">
        <f>IFERROR(__xludf.DUMMYFUNCTION("""COMPUTED_VALUE"""),0.0)</f>
        <v>0</v>
      </c>
      <c r="I9" s="119">
        <f>IFERROR(__xludf.DUMMYFUNCTION("""COMPUTED_VALUE"""),92741.0)</f>
        <v>92741</v>
      </c>
      <c r="J9" s="119">
        <f>IFERROR(__xludf.DUMMYFUNCTION("""COMPUTED_VALUE"""),93148.0)</f>
        <v>93148</v>
      </c>
      <c r="K9" s="119">
        <f>IFERROR(__xludf.DUMMYFUNCTION("""COMPUTED_VALUE"""),43000.0)</f>
        <v>43000</v>
      </c>
      <c r="L9" s="119">
        <f>IFERROR(__xludf.DUMMYFUNCTION("""COMPUTED_VALUE"""),59969.0)</f>
        <v>59969</v>
      </c>
      <c r="M9" s="119">
        <f>IFERROR(__xludf.DUMMYFUNCTION("""COMPUTED_VALUE"""),407.0)</f>
        <v>407</v>
      </c>
    </row>
    <row r="10">
      <c r="A10" s="116">
        <f>IFERROR(__xludf.DUMMYFUNCTION("""COMPUTED_VALUE"""),45666.946000717595)</f>
        <v>45666.946</v>
      </c>
      <c r="B10" s="117">
        <f>IFERROR(__xludf.DUMMYFUNCTION("""COMPUTED_VALUE"""),45666.0)</f>
        <v>45666</v>
      </c>
      <c r="C10" s="118" t="str">
        <f>IFERROR(__xludf.DUMMYFUNCTION("""COMPUTED_VALUE"""),"A11 SRI CHAIATNYA")</f>
        <v>A11 SRI CHAIATNYA</v>
      </c>
      <c r="D10" s="119">
        <f>IFERROR(__xludf.DUMMYFUNCTION("""COMPUTED_VALUE"""),278192.0)</f>
        <v>278192</v>
      </c>
      <c r="E10" s="119">
        <f>IFERROR(__xludf.DUMMYFUNCTION("""COMPUTED_VALUE"""),114746.0)</f>
        <v>114746</v>
      </c>
      <c r="F10" s="120">
        <f>IFERROR(__xludf.DUMMYFUNCTION("""COMPUTED_VALUE"""),61093.0)</f>
        <v>61093</v>
      </c>
      <c r="G10" s="119">
        <f>IFERROR(__xludf.DUMMYFUNCTION("""COMPUTED_VALUE"""),263464.0)</f>
        <v>263464</v>
      </c>
      <c r="H10" s="119">
        <f>IFERROR(__xludf.DUMMYFUNCTION("""COMPUTED_VALUE"""),0.0)</f>
        <v>0</v>
      </c>
      <c r="I10" s="119">
        <f>IFERROR(__xludf.DUMMYFUNCTION("""COMPUTED_VALUE"""),93149.0)</f>
        <v>93149</v>
      </c>
      <c r="J10" s="119">
        <f>IFERROR(__xludf.DUMMYFUNCTION("""COMPUTED_VALUE"""),93518.0)</f>
        <v>93518</v>
      </c>
      <c r="K10" s="119">
        <f>IFERROR(__xludf.DUMMYFUNCTION("""COMPUTED_VALUE"""),0.0)</f>
        <v>0</v>
      </c>
      <c r="L10" s="119">
        <f>IFERROR(__xludf.DUMMYFUNCTION("""COMPUTED_VALUE"""),767.0)</f>
        <v>767</v>
      </c>
      <c r="M10" s="119">
        <f>IFERROR(__xludf.DUMMYFUNCTION("""COMPUTED_VALUE"""),369.0)</f>
        <v>369</v>
      </c>
    </row>
    <row r="11">
      <c r="A11" s="116">
        <f>IFERROR(__xludf.DUMMYFUNCTION("""COMPUTED_VALUE"""),45667.94765583333)</f>
        <v>45667.94766</v>
      </c>
      <c r="B11" s="117">
        <f>IFERROR(__xludf.DUMMYFUNCTION("""COMPUTED_VALUE"""),45667.0)</f>
        <v>45667</v>
      </c>
      <c r="C11" s="118" t="str">
        <f>IFERROR(__xludf.DUMMYFUNCTION("""COMPUTED_VALUE"""),"A11 SRI CHAIATNYA")</f>
        <v>A11 SRI CHAIATNYA</v>
      </c>
      <c r="D11" s="119">
        <f>IFERROR(__xludf.DUMMYFUNCTION("""COMPUTED_VALUE"""),276321.0)</f>
        <v>276321</v>
      </c>
      <c r="E11" s="119">
        <f>IFERROR(__xludf.DUMMYFUNCTION("""COMPUTED_VALUE"""),135467.0)</f>
        <v>135467</v>
      </c>
      <c r="F11" s="120">
        <f>IFERROR(__xludf.DUMMYFUNCTION("""COMPUTED_VALUE"""),56451.0)</f>
        <v>56451</v>
      </c>
      <c r="G11" s="119">
        <f>IFERROR(__xludf.DUMMYFUNCTION("""COMPUTED_VALUE"""),7284.0)</f>
        <v>7284</v>
      </c>
      <c r="H11" s="119">
        <f>IFERROR(__xludf.DUMMYFUNCTION("""COMPUTED_VALUE"""),0.0)</f>
        <v>0</v>
      </c>
      <c r="I11" s="119">
        <f>IFERROR(__xludf.DUMMYFUNCTION("""COMPUTED_VALUE"""),93519.0)</f>
        <v>93519</v>
      </c>
      <c r="J11" s="119">
        <f>IFERROR(__xludf.DUMMYFUNCTION("""COMPUTED_VALUE"""),93878.0)</f>
        <v>93878</v>
      </c>
      <c r="K11" s="119">
        <f>IFERROR(__xludf.DUMMYFUNCTION("""COMPUTED_VALUE"""),97500.0)</f>
        <v>97500</v>
      </c>
      <c r="L11" s="119">
        <f>IFERROR(__xludf.DUMMYFUNCTION("""COMPUTED_VALUE"""),1131.0)</f>
        <v>1131</v>
      </c>
      <c r="M11" s="119">
        <f>IFERROR(__xludf.DUMMYFUNCTION("""COMPUTED_VALUE"""),359.0)</f>
        <v>359</v>
      </c>
    </row>
    <row r="12">
      <c r="A12" s="116">
        <f>IFERROR(__xludf.DUMMYFUNCTION("""COMPUTED_VALUE"""),45668.94632873843)</f>
        <v>45668.94633</v>
      </c>
      <c r="B12" s="117">
        <f>IFERROR(__xludf.DUMMYFUNCTION("""COMPUTED_VALUE"""),45668.0)</f>
        <v>45668</v>
      </c>
      <c r="C12" s="118" t="str">
        <f>IFERROR(__xludf.DUMMYFUNCTION("""COMPUTED_VALUE"""),"A11 SRI CHAIATNYA")</f>
        <v>A11 SRI CHAIATNYA</v>
      </c>
      <c r="D12" s="119">
        <f>IFERROR(__xludf.DUMMYFUNCTION("""COMPUTED_VALUE"""),371985.0)</f>
        <v>371985</v>
      </c>
      <c r="E12" s="119">
        <f>IFERROR(__xludf.DUMMYFUNCTION("""COMPUTED_VALUE"""),133824.0)</f>
        <v>133824</v>
      </c>
      <c r="F12" s="120">
        <f>IFERROR(__xludf.DUMMYFUNCTION("""COMPUTED_VALUE"""),87858.0)</f>
        <v>87858</v>
      </c>
      <c r="G12" s="119">
        <f>IFERROR(__xludf.DUMMYFUNCTION("""COMPUTED_VALUE"""),20983.0)</f>
        <v>20983</v>
      </c>
      <c r="H12" s="119">
        <f>IFERROR(__xludf.DUMMYFUNCTION("""COMPUTED_VALUE"""),0.0)</f>
        <v>0</v>
      </c>
      <c r="I12" s="119">
        <f>IFERROR(__xludf.DUMMYFUNCTION("""COMPUTED_VALUE"""),93879.0)</f>
        <v>93879</v>
      </c>
      <c r="J12" s="119">
        <f>IFERROR(__xludf.DUMMYFUNCTION("""COMPUTED_VALUE"""),94302.0)</f>
        <v>94302</v>
      </c>
      <c r="K12" s="119">
        <f>IFERROR(__xludf.DUMMYFUNCTION("""COMPUTED_VALUE"""),0.0)</f>
        <v>0</v>
      </c>
      <c r="L12" s="119">
        <f>IFERROR(__xludf.DUMMYFUNCTION("""COMPUTED_VALUE"""),7099.0)</f>
        <v>7099</v>
      </c>
      <c r="M12" s="119">
        <f>IFERROR(__xludf.DUMMYFUNCTION("""COMPUTED_VALUE"""),423.0)</f>
        <v>423</v>
      </c>
    </row>
    <row r="13">
      <c r="A13" s="116">
        <f>IFERROR(__xludf.DUMMYFUNCTION("""COMPUTED_VALUE"""),45670.50944902778)</f>
        <v>45670.50945</v>
      </c>
      <c r="B13" s="117">
        <f>IFERROR(__xludf.DUMMYFUNCTION("""COMPUTED_VALUE"""),45669.0)</f>
        <v>45669</v>
      </c>
      <c r="C13" s="118" t="str">
        <f>IFERROR(__xludf.DUMMYFUNCTION("""COMPUTED_VALUE"""),"A11 SRI CHAIATNYA")</f>
        <v>A11 SRI CHAIATNYA</v>
      </c>
      <c r="D13" s="119">
        <f>IFERROR(__xludf.DUMMYFUNCTION("""COMPUTED_VALUE"""),237163.0)</f>
        <v>237163</v>
      </c>
      <c r="E13" s="119">
        <f>IFERROR(__xludf.DUMMYFUNCTION("""COMPUTED_VALUE"""),152191.0)</f>
        <v>152191</v>
      </c>
      <c r="F13" s="120">
        <f>IFERROR(__xludf.DUMMYFUNCTION("""COMPUTED_VALUE"""),26746.0)</f>
        <v>26746</v>
      </c>
      <c r="G13" s="119">
        <f>IFERROR(__xludf.DUMMYFUNCTION("""COMPUTED_VALUE"""),12277.0)</f>
        <v>12277</v>
      </c>
      <c r="H13" s="119">
        <f>IFERROR(__xludf.DUMMYFUNCTION("""COMPUTED_VALUE"""),0.0)</f>
        <v>0</v>
      </c>
      <c r="I13" s="119">
        <f>IFERROR(__xludf.DUMMYFUNCTION("""COMPUTED_VALUE"""),94303.0)</f>
        <v>94303</v>
      </c>
      <c r="J13" s="119">
        <f>IFERROR(__xludf.DUMMYFUNCTION("""COMPUTED_VALUE"""),94652.0)</f>
        <v>94652</v>
      </c>
      <c r="K13" s="119">
        <f>IFERROR(__xludf.DUMMYFUNCTION("""COMPUTED_VALUE"""),0.0)</f>
        <v>0</v>
      </c>
      <c r="L13" s="119">
        <f>IFERROR(__xludf.DUMMYFUNCTION("""COMPUTED_VALUE"""),902.0)</f>
        <v>902</v>
      </c>
      <c r="M13" s="119">
        <f>IFERROR(__xludf.DUMMYFUNCTION("""COMPUTED_VALUE"""),349.0)</f>
        <v>349</v>
      </c>
    </row>
    <row r="14">
      <c r="A14" s="116">
        <f>IFERROR(__xludf.DUMMYFUNCTION("""COMPUTED_VALUE"""),45670.92920262732)</f>
        <v>45670.9292</v>
      </c>
      <c r="B14" s="117">
        <f>IFERROR(__xludf.DUMMYFUNCTION("""COMPUTED_VALUE"""),45670.0)</f>
        <v>45670</v>
      </c>
      <c r="C14" s="118" t="str">
        <f>IFERROR(__xludf.DUMMYFUNCTION("""COMPUTED_VALUE"""),"A11 SRI CHAIATNYA")</f>
        <v>A11 SRI CHAIATNYA</v>
      </c>
      <c r="D14" s="119">
        <f>IFERROR(__xludf.DUMMYFUNCTION("""COMPUTED_VALUE"""),262620.0)</f>
        <v>262620</v>
      </c>
      <c r="E14" s="119">
        <f>IFERROR(__xludf.DUMMYFUNCTION("""COMPUTED_VALUE"""),118042.0)</f>
        <v>118042</v>
      </c>
      <c r="F14" s="120">
        <f>IFERROR(__xludf.DUMMYFUNCTION("""COMPUTED_VALUE"""),44744.0)</f>
        <v>44744</v>
      </c>
      <c r="G14" s="119">
        <f>IFERROR(__xludf.DUMMYFUNCTION("""COMPUTED_VALUE"""),17859.0)</f>
        <v>17859</v>
      </c>
      <c r="H14" s="119">
        <f>IFERROR(__xludf.DUMMYFUNCTION("""COMPUTED_VALUE"""),0.0)</f>
        <v>0</v>
      </c>
      <c r="I14" s="119">
        <f>IFERROR(__xludf.DUMMYFUNCTION("""COMPUTED_VALUE"""),94653.0)</f>
        <v>94653</v>
      </c>
      <c r="J14" s="119">
        <f>IFERROR(__xludf.DUMMYFUNCTION("""COMPUTED_VALUE"""),95005.0)</f>
        <v>95005</v>
      </c>
      <c r="K14" s="119">
        <f>IFERROR(__xludf.DUMMYFUNCTION("""COMPUTED_VALUE"""),212300.0)</f>
        <v>212300</v>
      </c>
      <c r="L14" s="119">
        <f>IFERROR(__xludf.DUMMYFUNCTION("""COMPUTED_VALUE"""),720.0)</f>
        <v>720</v>
      </c>
      <c r="M14" s="119">
        <f>IFERROR(__xludf.DUMMYFUNCTION("""COMPUTED_VALUE"""),352.0)</f>
        <v>352</v>
      </c>
    </row>
    <row r="15">
      <c r="A15" s="116">
        <f>IFERROR(__xludf.DUMMYFUNCTION("""COMPUTED_VALUE"""),45671.908226631946)</f>
        <v>45671.90823</v>
      </c>
      <c r="B15" s="117">
        <f>IFERROR(__xludf.DUMMYFUNCTION("""COMPUTED_VALUE"""),45671.0)</f>
        <v>45671</v>
      </c>
      <c r="C15" s="118" t="str">
        <f>IFERROR(__xludf.DUMMYFUNCTION("""COMPUTED_VALUE"""),"A11 SRI CHAIATNYA")</f>
        <v>A11 SRI CHAIATNYA</v>
      </c>
      <c r="D15" s="119">
        <f>IFERROR(__xludf.DUMMYFUNCTION("""COMPUTED_VALUE"""),139855.0)</f>
        <v>139855</v>
      </c>
      <c r="E15" s="119">
        <f>IFERROR(__xludf.DUMMYFUNCTION("""COMPUTED_VALUE"""),65329.0)</f>
        <v>65329</v>
      </c>
      <c r="F15" s="120">
        <f>IFERROR(__xludf.DUMMYFUNCTION("""COMPUTED_VALUE"""),28484.0)</f>
        <v>28484</v>
      </c>
      <c r="G15" s="119">
        <f>IFERROR(__xludf.DUMMYFUNCTION("""COMPUTED_VALUE"""),6509.0)</f>
        <v>6509</v>
      </c>
      <c r="H15" s="119">
        <f>IFERROR(__xludf.DUMMYFUNCTION("""COMPUTED_VALUE"""),0.0)</f>
        <v>0</v>
      </c>
      <c r="I15" s="119">
        <f>IFERROR(__xludf.DUMMYFUNCTION("""COMPUTED_VALUE"""),95006.0)</f>
        <v>95006</v>
      </c>
      <c r="J15" s="119">
        <f>IFERROR(__xludf.DUMMYFUNCTION("""COMPUTED_VALUE"""),95216.0)</f>
        <v>95216</v>
      </c>
      <c r="K15" s="119">
        <f>IFERROR(__xludf.DUMMYFUNCTION("""COMPUTED_VALUE"""),0.0)</f>
        <v>0</v>
      </c>
      <c r="L15" s="119">
        <f>IFERROR(__xludf.DUMMYFUNCTION("""COMPUTED_VALUE"""),453.0)</f>
        <v>453</v>
      </c>
      <c r="M15" s="119">
        <f>IFERROR(__xludf.DUMMYFUNCTION("""COMPUTED_VALUE"""),210.0)</f>
        <v>210</v>
      </c>
    </row>
    <row r="16">
      <c r="A16" s="116">
        <f>IFERROR(__xludf.DUMMYFUNCTION("""COMPUTED_VALUE"""),45672.946142175926)</f>
        <v>45672.94614</v>
      </c>
      <c r="B16" s="117">
        <f>IFERROR(__xludf.DUMMYFUNCTION("""COMPUTED_VALUE"""),45672.0)</f>
        <v>45672</v>
      </c>
      <c r="C16" s="118" t="str">
        <f>IFERROR(__xludf.DUMMYFUNCTION("""COMPUTED_VALUE"""),"A11 SRI CHAIATNYA")</f>
        <v>A11 SRI CHAIATNYA</v>
      </c>
      <c r="D16" s="119">
        <f>IFERROR(__xludf.DUMMYFUNCTION("""COMPUTED_VALUE"""),231191.0)</f>
        <v>231191</v>
      </c>
      <c r="E16" s="119">
        <f>IFERROR(__xludf.DUMMYFUNCTION("""COMPUTED_VALUE"""),84048.0)</f>
        <v>84048</v>
      </c>
      <c r="F16" s="120">
        <f>IFERROR(__xludf.DUMMYFUNCTION("""COMPUTED_VALUE"""),53610.0)</f>
        <v>53610</v>
      </c>
      <c r="G16" s="119">
        <f>IFERROR(__xludf.DUMMYFUNCTION("""COMPUTED_VALUE"""),8540.0)</f>
        <v>8540</v>
      </c>
      <c r="H16" s="119">
        <f>IFERROR(__xludf.DUMMYFUNCTION("""COMPUTED_VALUE"""),0.0)</f>
        <v>0</v>
      </c>
      <c r="I16" s="119">
        <f>IFERROR(__xludf.DUMMYFUNCTION("""COMPUTED_VALUE"""),95217.0)</f>
        <v>95217</v>
      </c>
      <c r="J16" s="119">
        <f>IFERROR(__xludf.DUMMYFUNCTION("""COMPUTED_VALUE"""),95562.0)</f>
        <v>95562</v>
      </c>
      <c r="K16" s="118"/>
      <c r="L16" s="119">
        <f>IFERROR(__xludf.DUMMYFUNCTION("""COMPUTED_VALUE"""),316.0)</f>
        <v>316</v>
      </c>
      <c r="M16" s="119">
        <f>IFERROR(__xludf.DUMMYFUNCTION("""COMPUTED_VALUE"""),345.0)</f>
        <v>345</v>
      </c>
    </row>
    <row r="17">
      <c r="A17" s="116">
        <f>IFERROR(__xludf.DUMMYFUNCTION("""COMPUTED_VALUE"""),45673.93160748843)</f>
        <v>45673.93161</v>
      </c>
      <c r="B17" s="117">
        <f>IFERROR(__xludf.DUMMYFUNCTION("""COMPUTED_VALUE"""),45673.0)</f>
        <v>45673</v>
      </c>
      <c r="C17" s="118" t="str">
        <f>IFERROR(__xludf.DUMMYFUNCTION("""COMPUTED_VALUE"""),"A11 SRI CHAIATNYA")</f>
        <v>A11 SRI CHAIATNYA</v>
      </c>
      <c r="D17" s="119">
        <f>IFERROR(__xludf.DUMMYFUNCTION("""COMPUTED_VALUE"""),281278.0)</f>
        <v>281278</v>
      </c>
      <c r="E17" s="119">
        <f>IFERROR(__xludf.DUMMYFUNCTION("""COMPUTED_VALUE"""),120263.0)</f>
        <v>120263</v>
      </c>
      <c r="F17" s="120">
        <f>IFERROR(__xludf.DUMMYFUNCTION("""COMPUTED_VALUE"""),47271.0)</f>
        <v>47271</v>
      </c>
      <c r="G17" s="119">
        <f>IFERROR(__xludf.DUMMYFUNCTION("""COMPUTED_VALUE"""),21297.0)</f>
        <v>21297</v>
      </c>
      <c r="H17" s="119">
        <f>IFERROR(__xludf.DUMMYFUNCTION("""COMPUTED_VALUE"""),0.0)</f>
        <v>0</v>
      </c>
      <c r="I17" s="119">
        <f>IFERROR(__xludf.DUMMYFUNCTION("""COMPUTED_VALUE"""),95563.0)</f>
        <v>95563</v>
      </c>
      <c r="J17" s="119">
        <f>IFERROR(__xludf.DUMMYFUNCTION("""COMPUTED_VALUE"""),95970.0)</f>
        <v>95970</v>
      </c>
      <c r="K17" s="119">
        <f>IFERROR(__xludf.DUMMYFUNCTION("""COMPUTED_VALUE"""),86700.0)</f>
        <v>86700</v>
      </c>
      <c r="L17" s="119">
        <f>IFERROR(__xludf.DUMMYFUNCTION("""COMPUTED_VALUE"""),667.0)</f>
        <v>667</v>
      </c>
      <c r="M17" s="119">
        <f>IFERROR(__xludf.DUMMYFUNCTION("""COMPUTED_VALUE"""),407.0)</f>
        <v>407</v>
      </c>
    </row>
    <row r="18">
      <c r="A18" s="116">
        <f>IFERROR(__xludf.DUMMYFUNCTION("""COMPUTED_VALUE"""),45674.94389126157)</f>
        <v>45674.94389</v>
      </c>
      <c r="B18" s="117">
        <f>IFERROR(__xludf.DUMMYFUNCTION("""COMPUTED_VALUE"""),45674.0)</f>
        <v>45674</v>
      </c>
      <c r="C18" s="118" t="str">
        <f>IFERROR(__xludf.DUMMYFUNCTION("""COMPUTED_VALUE"""),"A11 SRI CHAIATNYA")</f>
        <v>A11 SRI CHAIATNYA</v>
      </c>
      <c r="D18" s="119">
        <f>IFERROR(__xludf.DUMMYFUNCTION("""COMPUTED_VALUE"""),317719.0)</f>
        <v>317719</v>
      </c>
      <c r="E18" s="119">
        <f>IFERROR(__xludf.DUMMYFUNCTION("""COMPUTED_VALUE"""),128569.0)</f>
        <v>128569</v>
      </c>
      <c r="F18" s="120">
        <f>IFERROR(__xludf.DUMMYFUNCTION("""COMPUTED_VALUE"""),43696.0)</f>
        <v>43696</v>
      </c>
      <c r="G18" s="119">
        <f>IFERROR(__xludf.DUMMYFUNCTION("""COMPUTED_VALUE"""),67960.0)</f>
        <v>67960</v>
      </c>
      <c r="H18" s="119">
        <f>IFERROR(__xludf.DUMMYFUNCTION("""COMPUTED_VALUE"""),0.0)</f>
        <v>0</v>
      </c>
      <c r="I18" s="119">
        <f>IFERROR(__xludf.DUMMYFUNCTION("""COMPUTED_VALUE"""),95971.0)</f>
        <v>95971</v>
      </c>
      <c r="J18" s="119">
        <f>IFERROR(__xludf.DUMMYFUNCTION("""COMPUTED_VALUE"""),96314.0)</f>
        <v>96314</v>
      </c>
      <c r="K18" s="119">
        <f>IFERROR(__xludf.DUMMYFUNCTION("""COMPUTED_VALUE"""),99000.0)</f>
        <v>99000</v>
      </c>
      <c r="L18" s="119">
        <f>IFERROR(__xludf.DUMMYFUNCTION("""COMPUTED_VALUE"""),2884.0)</f>
        <v>2884</v>
      </c>
      <c r="M18" s="119">
        <f>IFERROR(__xludf.DUMMYFUNCTION("""COMPUTED_VALUE"""),343.0)</f>
        <v>343</v>
      </c>
    </row>
    <row r="19">
      <c r="A19" s="116">
        <f>IFERROR(__xludf.DUMMYFUNCTION("""COMPUTED_VALUE"""),45676.41776578704)</f>
        <v>45676.41777</v>
      </c>
      <c r="B19" s="117">
        <f>IFERROR(__xludf.DUMMYFUNCTION("""COMPUTED_VALUE"""),45675.0)</f>
        <v>45675</v>
      </c>
      <c r="C19" s="118" t="str">
        <f>IFERROR(__xludf.DUMMYFUNCTION("""COMPUTED_VALUE"""),"A11 SRI CHAIATNYA")</f>
        <v>A11 SRI CHAIATNYA</v>
      </c>
      <c r="D19" s="119">
        <f>IFERROR(__xludf.DUMMYFUNCTION("""COMPUTED_VALUE"""),304948.0)</f>
        <v>304948</v>
      </c>
      <c r="E19" s="119">
        <f>IFERROR(__xludf.DUMMYFUNCTION("""COMPUTED_VALUE"""),118761.0)</f>
        <v>118761</v>
      </c>
      <c r="F19" s="120">
        <f>IFERROR(__xludf.DUMMYFUNCTION("""COMPUTED_VALUE"""),102462.0)</f>
        <v>102462</v>
      </c>
      <c r="G19" s="119">
        <f>IFERROR(__xludf.DUMMYFUNCTION("""COMPUTED_VALUE"""),18209.0)</f>
        <v>18209</v>
      </c>
      <c r="H19" s="119">
        <f>IFERROR(__xludf.DUMMYFUNCTION("""COMPUTED_VALUE"""),0.0)</f>
        <v>0</v>
      </c>
      <c r="I19" s="119">
        <f>IFERROR(__xludf.DUMMYFUNCTION("""COMPUTED_VALUE"""),96315.0)</f>
        <v>96315</v>
      </c>
      <c r="J19" s="119">
        <f>IFERROR(__xludf.DUMMYFUNCTION("""COMPUTED_VALUE"""),96717.0)</f>
        <v>96717</v>
      </c>
      <c r="K19" s="119">
        <f>IFERROR(__xludf.DUMMYFUNCTION("""COMPUTED_VALUE"""),77500.0)</f>
        <v>77500</v>
      </c>
      <c r="L19" s="119">
        <f>IFERROR(__xludf.DUMMYFUNCTION("""COMPUTED_VALUE"""),744.0)</f>
        <v>744</v>
      </c>
      <c r="M19" s="119">
        <f>IFERROR(__xludf.DUMMYFUNCTION("""COMPUTED_VALUE"""),402.0)</f>
        <v>402</v>
      </c>
    </row>
    <row r="20">
      <c r="A20" s="116">
        <f>IFERROR(__xludf.DUMMYFUNCTION("""COMPUTED_VALUE"""),45679.46408542824)</f>
        <v>45679.46409</v>
      </c>
      <c r="B20" s="117">
        <f>IFERROR(__xludf.DUMMYFUNCTION("""COMPUTED_VALUE"""),45676.0)</f>
        <v>45676</v>
      </c>
      <c r="C20" s="118" t="str">
        <f>IFERROR(__xludf.DUMMYFUNCTION("""COMPUTED_VALUE"""),"A11 SRI CHAIATNYA")</f>
        <v>A11 SRI CHAIATNYA</v>
      </c>
      <c r="D20" s="119">
        <f>IFERROR(__xludf.DUMMYFUNCTION("""COMPUTED_VALUE"""),218937.0)</f>
        <v>218937</v>
      </c>
      <c r="E20" s="119">
        <f>IFERROR(__xludf.DUMMYFUNCTION("""COMPUTED_VALUE"""),86528.0)</f>
        <v>86528</v>
      </c>
      <c r="F20" s="120">
        <f>IFERROR(__xludf.DUMMYFUNCTION("""COMPUTED_VALUE"""),51031.0)</f>
        <v>51031</v>
      </c>
      <c r="G20" s="119">
        <f>IFERROR(__xludf.DUMMYFUNCTION("""COMPUTED_VALUE"""),2843.0)</f>
        <v>2843</v>
      </c>
      <c r="H20" s="119">
        <f>IFERROR(__xludf.DUMMYFUNCTION("""COMPUTED_VALUE"""),0.0)</f>
        <v>0</v>
      </c>
      <c r="I20" s="119">
        <f>IFERROR(__xludf.DUMMYFUNCTION("""COMPUTED_VALUE"""),96718.0)</f>
        <v>96718</v>
      </c>
      <c r="J20" s="119">
        <f>IFERROR(__xludf.DUMMYFUNCTION("""COMPUTED_VALUE"""),97032.0)</f>
        <v>97032</v>
      </c>
      <c r="K20" s="119">
        <f>IFERROR(__xludf.DUMMYFUNCTION("""COMPUTED_VALUE"""),0.0)</f>
        <v>0</v>
      </c>
      <c r="L20" s="119">
        <f>IFERROR(__xludf.DUMMYFUNCTION("""COMPUTED_VALUE"""),241.0)</f>
        <v>241</v>
      </c>
      <c r="M20" s="119">
        <f>IFERROR(__xludf.DUMMYFUNCTION("""COMPUTED_VALUE"""),314.0)</f>
        <v>314</v>
      </c>
    </row>
    <row r="21">
      <c r="A21" s="116">
        <f>IFERROR(__xludf.DUMMYFUNCTION("""COMPUTED_VALUE"""),45679.46606237268)</f>
        <v>45679.46606</v>
      </c>
      <c r="B21" s="117">
        <f>IFERROR(__xludf.DUMMYFUNCTION("""COMPUTED_VALUE"""),45677.0)</f>
        <v>45677</v>
      </c>
      <c r="C21" s="118" t="str">
        <f>IFERROR(__xludf.DUMMYFUNCTION("""COMPUTED_VALUE"""),"A11 SRI CHAIATNYA")</f>
        <v>A11 SRI CHAIATNYA</v>
      </c>
      <c r="D21" s="119">
        <f>IFERROR(__xludf.DUMMYFUNCTION("""COMPUTED_VALUE"""),240592.0)</f>
        <v>240592</v>
      </c>
      <c r="E21" s="119">
        <f>IFERROR(__xludf.DUMMYFUNCTION("""COMPUTED_VALUE"""),91771.0)</f>
        <v>91771</v>
      </c>
      <c r="F21" s="120">
        <f>IFERROR(__xludf.DUMMYFUNCTION("""COMPUTED_VALUE"""),46579.0)</f>
        <v>46579</v>
      </c>
      <c r="G21" s="119">
        <f>IFERROR(__xludf.DUMMYFUNCTION("""COMPUTED_VALUE"""),19245.0)</f>
        <v>19245</v>
      </c>
      <c r="H21" s="119">
        <f>IFERROR(__xludf.DUMMYFUNCTION("""COMPUTED_VALUE"""),0.0)</f>
        <v>0</v>
      </c>
      <c r="I21" s="119">
        <f>IFERROR(__xludf.DUMMYFUNCTION("""COMPUTED_VALUE"""),97033.0)</f>
        <v>97033</v>
      </c>
      <c r="J21" s="119">
        <f>IFERROR(__xludf.DUMMYFUNCTION("""COMPUTED_VALUE"""),97398.0)</f>
        <v>97398</v>
      </c>
      <c r="K21" s="119">
        <f>IFERROR(__xludf.DUMMYFUNCTION("""COMPUTED_VALUE"""),150100.0)</f>
        <v>150100</v>
      </c>
      <c r="L21" s="119">
        <f>IFERROR(__xludf.DUMMYFUNCTION("""COMPUTED_VALUE"""),1229.0)</f>
        <v>1229</v>
      </c>
      <c r="M21" s="119">
        <f>IFERROR(__xludf.DUMMYFUNCTION("""COMPUTED_VALUE"""),365.0)</f>
        <v>365</v>
      </c>
    </row>
    <row r="22">
      <c r="A22" s="116">
        <f>IFERROR(__xludf.DUMMYFUNCTION("""COMPUTED_VALUE"""),45679.46836408565)</f>
        <v>45679.46836</v>
      </c>
      <c r="B22" s="117">
        <f>IFERROR(__xludf.DUMMYFUNCTION("""COMPUTED_VALUE"""),45678.0)</f>
        <v>45678</v>
      </c>
      <c r="C22" s="118" t="str">
        <f>IFERROR(__xludf.DUMMYFUNCTION("""COMPUTED_VALUE"""),"A11 SRI CHAIATNYA")</f>
        <v>A11 SRI CHAIATNYA</v>
      </c>
      <c r="D22" s="119">
        <f>IFERROR(__xludf.DUMMYFUNCTION("""COMPUTED_VALUE"""),313337.0)</f>
        <v>313337</v>
      </c>
      <c r="E22" s="119">
        <f>IFERROR(__xludf.DUMMYFUNCTION("""COMPUTED_VALUE"""),141654.0)</f>
        <v>141654</v>
      </c>
      <c r="F22" s="120">
        <f>IFERROR(__xludf.DUMMYFUNCTION("""COMPUTED_VALUE"""),53419.0)</f>
        <v>53419</v>
      </c>
      <c r="G22" s="119">
        <f>IFERROR(__xludf.DUMMYFUNCTION("""COMPUTED_VALUE"""),26430.0)</f>
        <v>26430</v>
      </c>
      <c r="H22" s="119">
        <f>IFERROR(__xludf.DUMMYFUNCTION("""COMPUTED_VALUE"""),0.0)</f>
        <v>0</v>
      </c>
      <c r="I22" s="119">
        <f>IFERROR(__xludf.DUMMYFUNCTION("""COMPUTED_VALUE"""),97399.0)</f>
        <v>97399</v>
      </c>
      <c r="J22" s="119">
        <f>IFERROR(__xludf.DUMMYFUNCTION("""COMPUTED_VALUE"""),97786.0)</f>
        <v>97786</v>
      </c>
      <c r="K22" s="119">
        <f>IFERROR(__xludf.DUMMYFUNCTION("""COMPUTED_VALUE"""),80400.0)</f>
        <v>80400</v>
      </c>
      <c r="L22" s="119">
        <f>IFERROR(__xludf.DUMMYFUNCTION("""COMPUTED_VALUE"""),2743.0)</f>
        <v>2743</v>
      </c>
      <c r="M22" s="119">
        <f>IFERROR(__xludf.DUMMYFUNCTION("""COMPUTED_VALUE"""),387.0)</f>
        <v>387</v>
      </c>
    </row>
    <row r="23">
      <c r="F23" s="121"/>
    </row>
    <row r="24">
      <c r="F24" s="121"/>
    </row>
    <row r="25">
      <c r="F25" s="121"/>
    </row>
    <row r="26">
      <c r="F26" s="121"/>
    </row>
    <row r="27">
      <c r="F27" s="121"/>
    </row>
    <row r="28">
      <c r="F28" s="121"/>
    </row>
    <row r="29">
      <c r="F29" s="121"/>
    </row>
    <row r="30">
      <c r="F30" s="121"/>
    </row>
    <row r="31">
      <c r="F31" s="121"/>
    </row>
    <row r="32">
      <c r="A32" s="122" t="s">
        <v>40</v>
      </c>
      <c r="D32" s="123">
        <f t="shared" ref="D32:H32" si="1">sum(D2:D31)</f>
        <v>5671614</v>
      </c>
      <c r="E32" s="123">
        <f t="shared" si="1"/>
        <v>2146501</v>
      </c>
      <c r="F32" s="124">
        <f t="shared" si="1"/>
        <v>1404906</v>
      </c>
      <c r="G32" s="123">
        <f t="shared" si="1"/>
        <v>609030</v>
      </c>
      <c r="H32" s="123">
        <f t="shared" si="1"/>
        <v>0</v>
      </c>
      <c r="I32" s="125"/>
      <c r="J32" s="125"/>
      <c r="K32" s="123">
        <f t="shared" ref="K32:M32" si="2">sum(K2:K31)</f>
        <v>1329500</v>
      </c>
      <c r="L32" s="123">
        <f t="shared" si="2"/>
        <v>170375</v>
      </c>
      <c r="M32" s="123">
        <f t="shared" si="2"/>
        <v>7669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</row>
    <row r="33">
      <c r="F33" s="121"/>
    </row>
    <row r="34">
      <c r="F34" s="121"/>
    </row>
    <row r="35">
      <c r="F35" s="121"/>
    </row>
    <row r="36">
      <c r="F36" s="121"/>
    </row>
    <row r="37">
      <c r="F37" s="121"/>
    </row>
    <row r="38">
      <c r="F38" s="121"/>
    </row>
    <row r="39">
      <c r="F39" s="121"/>
    </row>
    <row r="40">
      <c r="F40" s="121"/>
    </row>
    <row r="41">
      <c r="F41" s="121"/>
    </row>
    <row r="42">
      <c r="F42" s="121"/>
    </row>
    <row r="43">
      <c r="F43" s="121"/>
    </row>
    <row r="44">
      <c r="F44" s="121"/>
    </row>
    <row r="45">
      <c r="F45" s="121"/>
    </row>
    <row r="46">
      <c r="F46" s="121"/>
    </row>
    <row r="47">
      <c r="F47" s="121"/>
    </row>
    <row r="48">
      <c r="F48" s="121"/>
    </row>
    <row r="49">
      <c r="F49" s="121"/>
    </row>
    <row r="50">
      <c r="F50" s="121"/>
    </row>
    <row r="51">
      <c r="F51" s="121"/>
    </row>
    <row r="52">
      <c r="F52" s="121"/>
    </row>
    <row r="53">
      <c r="F53" s="121"/>
    </row>
    <row r="54">
      <c r="F54" s="121"/>
    </row>
    <row r="55">
      <c r="F55" s="121"/>
    </row>
    <row r="56">
      <c r="F56" s="121"/>
    </row>
    <row r="57">
      <c r="F57" s="121"/>
    </row>
    <row r="58">
      <c r="F58" s="121"/>
    </row>
    <row r="59">
      <c r="F59" s="121"/>
    </row>
    <row r="60">
      <c r="F60" s="121"/>
    </row>
    <row r="61">
      <c r="F61" s="121"/>
    </row>
    <row r="62">
      <c r="F62" s="121"/>
    </row>
    <row r="63">
      <c r="F63" s="121"/>
    </row>
    <row r="64">
      <c r="F64" s="121"/>
    </row>
    <row r="65">
      <c r="F65" s="121"/>
    </row>
    <row r="66">
      <c r="F66" s="121"/>
    </row>
    <row r="67">
      <c r="F67" s="121"/>
    </row>
    <row r="68">
      <c r="F68" s="121"/>
    </row>
    <row r="69">
      <c r="F69" s="121"/>
    </row>
    <row r="70">
      <c r="F70" s="121"/>
    </row>
    <row r="71">
      <c r="F71" s="121"/>
    </row>
    <row r="72">
      <c r="F72" s="121"/>
    </row>
    <row r="73">
      <c r="F73" s="121"/>
    </row>
    <row r="74">
      <c r="F74" s="121"/>
    </row>
    <row r="75">
      <c r="F75" s="121"/>
    </row>
    <row r="76">
      <c r="F76" s="121"/>
    </row>
    <row r="77">
      <c r="F77" s="121"/>
    </row>
    <row r="78">
      <c r="F78" s="121"/>
    </row>
    <row r="79">
      <c r="F79" s="121"/>
    </row>
    <row r="80">
      <c r="F80" s="121"/>
    </row>
    <row r="81">
      <c r="F81" s="121"/>
    </row>
    <row r="82">
      <c r="F82" s="121"/>
    </row>
    <row r="83">
      <c r="F83" s="121"/>
    </row>
    <row r="84">
      <c r="F84" s="121"/>
    </row>
    <row r="85">
      <c r="F85" s="121"/>
    </row>
    <row r="86">
      <c r="F86" s="121"/>
    </row>
    <row r="87">
      <c r="F87" s="121"/>
    </row>
    <row r="88">
      <c r="F88" s="121"/>
    </row>
    <row r="89">
      <c r="F89" s="121"/>
    </row>
    <row r="90">
      <c r="F90" s="121"/>
    </row>
    <row r="91">
      <c r="F91" s="121"/>
    </row>
    <row r="92">
      <c r="F92" s="121"/>
    </row>
    <row r="93">
      <c r="F93" s="121"/>
    </row>
    <row r="94">
      <c r="F94" s="121"/>
    </row>
    <row r="95">
      <c r="F95" s="121"/>
    </row>
    <row r="96">
      <c r="F96" s="121"/>
    </row>
    <row r="97">
      <c r="F97" s="121"/>
    </row>
    <row r="98">
      <c r="F98" s="121"/>
    </row>
    <row r="99">
      <c r="F99" s="121"/>
    </row>
    <row r="100">
      <c r="F100" s="121"/>
    </row>
    <row r="101">
      <c r="F101" s="121"/>
    </row>
    <row r="102">
      <c r="F102" s="121"/>
    </row>
    <row r="103">
      <c r="F103" s="121"/>
    </row>
    <row r="104">
      <c r="F104" s="121"/>
    </row>
    <row r="105">
      <c r="F105" s="121"/>
    </row>
    <row r="106">
      <c r="F106" s="121"/>
    </row>
    <row r="107">
      <c r="F107" s="121"/>
    </row>
    <row r="108">
      <c r="F108" s="121"/>
    </row>
    <row r="109">
      <c r="F109" s="121"/>
    </row>
    <row r="110">
      <c r="F110" s="121"/>
    </row>
    <row r="111">
      <c r="F111" s="121"/>
    </row>
    <row r="112">
      <c r="F112" s="121"/>
    </row>
    <row r="113">
      <c r="F113" s="121"/>
    </row>
    <row r="114">
      <c r="F114" s="121"/>
    </row>
    <row r="115">
      <c r="F115" s="121"/>
    </row>
    <row r="116">
      <c r="F116" s="121"/>
    </row>
    <row r="117">
      <c r="F117" s="121"/>
    </row>
    <row r="118">
      <c r="F118" s="121"/>
    </row>
    <row r="119">
      <c r="F119" s="121"/>
    </row>
    <row r="120">
      <c r="F120" s="121"/>
    </row>
    <row r="121">
      <c r="F121" s="121"/>
    </row>
    <row r="122">
      <c r="F122" s="121"/>
    </row>
    <row r="123">
      <c r="F123" s="121"/>
    </row>
    <row r="124">
      <c r="F124" s="121"/>
    </row>
    <row r="125">
      <c r="F125" s="121"/>
    </row>
    <row r="126">
      <c r="F126" s="121"/>
    </row>
    <row r="127">
      <c r="F127" s="121"/>
    </row>
    <row r="128">
      <c r="F128" s="121"/>
    </row>
    <row r="129">
      <c r="F129" s="121"/>
    </row>
    <row r="130">
      <c r="F130" s="121"/>
    </row>
    <row r="131">
      <c r="F131" s="121"/>
    </row>
    <row r="132">
      <c r="F132" s="121"/>
    </row>
    <row r="133">
      <c r="F133" s="121"/>
    </row>
    <row r="134">
      <c r="F134" s="121"/>
    </row>
    <row r="135">
      <c r="F135" s="121"/>
    </row>
    <row r="136">
      <c r="F136" s="121"/>
    </row>
    <row r="137">
      <c r="F137" s="121"/>
    </row>
    <row r="138">
      <c r="F138" s="121"/>
    </row>
    <row r="139">
      <c r="F139" s="121"/>
    </row>
    <row r="140">
      <c r="F140" s="121"/>
    </row>
    <row r="141">
      <c r="F141" s="121"/>
    </row>
    <row r="142">
      <c r="F142" s="121"/>
    </row>
    <row r="143">
      <c r="F143" s="121"/>
    </row>
    <row r="144">
      <c r="F144" s="121"/>
    </row>
    <row r="145">
      <c r="F145" s="121"/>
    </row>
    <row r="146">
      <c r="F146" s="121"/>
    </row>
    <row r="147">
      <c r="F147" s="121"/>
    </row>
    <row r="148">
      <c r="F148" s="121"/>
    </row>
    <row r="149">
      <c r="F149" s="121"/>
    </row>
    <row r="150">
      <c r="F150" s="121"/>
    </row>
    <row r="151">
      <c r="F151" s="121"/>
    </row>
    <row r="152">
      <c r="F152" s="121"/>
    </row>
    <row r="153">
      <c r="F153" s="121"/>
    </row>
    <row r="154">
      <c r="F154" s="121"/>
    </row>
    <row r="155">
      <c r="F155" s="121"/>
    </row>
    <row r="156">
      <c r="F156" s="121"/>
    </row>
    <row r="157">
      <c r="F157" s="121"/>
    </row>
    <row r="158">
      <c r="F158" s="121"/>
    </row>
    <row r="159">
      <c r="F159" s="121"/>
    </row>
    <row r="160">
      <c r="F160" s="121"/>
    </row>
    <row r="161">
      <c r="F161" s="121"/>
    </row>
    <row r="162">
      <c r="F162" s="121"/>
    </row>
    <row r="163">
      <c r="F163" s="121"/>
    </row>
    <row r="164">
      <c r="F164" s="121"/>
    </row>
    <row r="165">
      <c r="F165" s="121"/>
    </row>
    <row r="166">
      <c r="F166" s="121"/>
    </row>
    <row r="167">
      <c r="F167" s="121"/>
    </row>
    <row r="168">
      <c r="F168" s="121"/>
    </row>
    <row r="169">
      <c r="F169" s="121"/>
    </row>
    <row r="170">
      <c r="F170" s="121"/>
    </row>
    <row r="171">
      <c r="F171" s="121"/>
    </row>
    <row r="172">
      <c r="F172" s="121"/>
    </row>
    <row r="173">
      <c r="F173" s="121"/>
    </row>
    <row r="174">
      <c r="F174" s="121"/>
    </row>
    <row r="175">
      <c r="F175" s="121"/>
    </row>
    <row r="176">
      <c r="F176" s="121"/>
    </row>
    <row r="177">
      <c r="F177" s="121"/>
    </row>
    <row r="178">
      <c r="F178" s="121"/>
    </row>
    <row r="179">
      <c r="F179" s="121"/>
    </row>
    <row r="180">
      <c r="F180" s="121"/>
    </row>
    <row r="181">
      <c r="F181" s="121"/>
    </row>
    <row r="182">
      <c r="F182" s="121"/>
    </row>
    <row r="183">
      <c r="F183" s="121"/>
    </row>
    <row r="184">
      <c r="F184" s="121"/>
    </row>
    <row r="185">
      <c r="F185" s="121"/>
    </row>
    <row r="186">
      <c r="F186" s="121"/>
    </row>
    <row r="187">
      <c r="F187" s="121"/>
    </row>
    <row r="188">
      <c r="F188" s="121"/>
    </row>
    <row r="189">
      <c r="F189" s="121"/>
    </row>
    <row r="190">
      <c r="F190" s="121"/>
    </row>
    <row r="191">
      <c r="F191" s="121"/>
    </row>
    <row r="192">
      <c r="F192" s="121"/>
    </row>
    <row r="193">
      <c r="F193" s="121"/>
    </row>
    <row r="194">
      <c r="F194" s="121"/>
    </row>
    <row r="195">
      <c r="F195" s="121"/>
    </row>
    <row r="196">
      <c r="F196" s="121"/>
    </row>
    <row r="197">
      <c r="F197" s="121"/>
    </row>
    <row r="198">
      <c r="F198" s="121"/>
    </row>
    <row r="199">
      <c r="F199" s="121"/>
    </row>
    <row r="200">
      <c r="F200" s="121"/>
    </row>
    <row r="201">
      <c r="F201" s="121"/>
    </row>
    <row r="202">
      <c r="F202" s="121"/>
    </row>
    <row r="203">
      <c r="F203" s="121"/>
    </row>
    <row r="204">
      <c r="F204" s="121"/>
    </row>
    <row r="205">
      <c r="F205" s="121"/>
    </row>
    <row r="206">
      <c r="F206" s="121"/>
    </row>
    <row r="207">
      <c r="F207" s="121"/>
    </row>
    <row r="208">
      <c r="F208" s="121"/>
    </row>
    <row r="209">
      <c r="F209" s="121"/>
    </row>
    <row r="210">
      <c r="F210" s="121"/>
    </row>
    <row r="211">
      <c r="F211" s="121"/>
    </row>
    <row r="212">
      <c r="F212" s="121"/>
    </row>
    <row r="213">
      <c r="F213" s="121"/>
    </row>
    <row r="214">
      <c r="F214" s="121"/>
    </row>
    <row r="215">
      <c r="F215" s="121"/>
    </row>
    <row r="216">
      <c r="F216" s="121"/>
    </row>
    <row r="217">
      <c r="F217" s="121"/>
    </row>
    <row r="218">
      <c r="F218" s="121"/>
    </row>
    <row r="219">
      <c r="F219" s="121"/>
    </row>
    <row r="220">
      <c r="F220" s="121"/>
    </row>
    <row r="221">
      <c r="F221" s="121"/>
    </row>
    <row r="222">
      <c r="F222" s="121"/>
    </row>
    <row r="223">
      <c r="F223" s="121"/>
    </row>
    <row r="224">
      <c r="F224" s="121"/>
    </row>
    <row r="225">
      <c r="F225" s="121"/>
    </row>
    <row r="226">
      <c r="F226" s="121"/>
    </row>
    <row r="227">
      <c r="F227" s="121"/>
    </row>
    <row r="228">
      <c r="F228" s="121"/>
    </row>
    <row r="229">
      <c r="F229" s="121"/>
    </row>
    <row r="230">
      <c r="F230" s="121"/>
    </row>
    <row r="231">
      <c r="F231" s="121"/>
    </row>
    <row r="232">
      <c r="F232" s="121"/>
    </row>
    <row r="233">
      <c r="F233" s="121"/>
    </row>
    <row r="234">
      <c r="F234" s="121"/>
    </row>
    <row r="235">
      <c r="F235" s="121"/>
    </row>
    <row r="236">
      <c r="F236" s="121"/>
    </row>
    <row r="237">
      <c r="F237" s="121"/>
    </row>
    <row r="238">
      <c r="F238" s="121"/>
    </row>
    <row r="239">
      <c r="F239" s="121"/>
    </row>
    <row r="240">
      <c r="F240" s="121"/>
    </row>
    <row r="241">
      <c r="F241" s="121"/>
    </row>
    <row r="242">
      <c r="F242" s="121"/>
    </row>
    <row r="243">
      <c r="F243" s="121"/>
    </row>
    <row r="244">
      <c r="F244" s="121"/>
    </row>
    <row r="245">
      <c r="F245" s="121"/>
    </row>
    <row r="246">
      <c r="F246" s="121"/>
    </row>
    <row r="247">
      <c r="F247" s="121"/>
    </row>
    <row r="248">
      <c r="F248" s="121"/>
    </row>
    <row r="249">
      <c r="F249" s="121"/>
    </row>
    <row r="250">
      <c r="F250" s="121"/>
    </row>
    <row r="251">
      <c r="F251" s="121"/>
    </row>
    <row r="252">
      <c r="F252" s="121"/>
    </row>
    <row r="253">
      <c r="F253" s="121"/>
    </row>
    <row r="254">
      <c r="F254" s="121"/>
    </row>
    <row r="255">
      <c r="F255" s="121"/>
    </row>
    <row r="256">
      <c r="F256" s="121"/>
    </row>
    <row r="257">
      <c r="F257" s="121"/>
    </row>
    <row r="258">
      <c r="F258" s="121"/>
    </row>
    <row r="259">
      <c r="F259" s="121"/>
    </row>
    <row r="260">
      <c r="F260" s="121"/>
    </row>
    <row r="261">
      <c r="F261" s="121"/>
    </row>
    <row r="262">
      <c r="F262" s="121"/>
    </row>
    <row r="263">
      <c r="F263" s="121"/>
    </row>
    <row r="264">
      <c r="F264" s="121"/>
    </row>
    <row r="265">
      <c r="F265" s="121"/>
    </row>
    <row r="266">
      <c r="F266" s="121"/>
    </row>
    <row r="267">
      <c r="F267" s="121"/>
    </row>
    <row r="268">
      <c r="F268" s="121"/>
    </row>
    <row r="269">
      <c r="F269" s="121"/>
    </row>
    <row r="270">
      <c r="F270" s="121"/>
    </row>
    <row r="271">
      <c r="F271" s="121"/>
    </row>
    <row r="272">
      <c r="F272" s="121"/>
    </row>
    <row r="273">
      <c r="F273" s="121"/>
    </row>
    <row r="274">
      <c r="F274" s="121"/>
    </row>
    <row r="275">
      <c r="F275" s="121"/>
    </row>
    <row r="276">
      <c r="F276" s="121"/>
    </row>
    <row r="277">
      <c r="F277" s="121"/>
    </row>
    <row r="278">
      <c r="F278" s="121"/>
    </row>
    <row r="279">
      <c r="F279" s="121"/>
    </row>
    <row r="280">
      <c r="F280" s="121"/>
    </row>
    <row r="281">
      <c r="F281" s="121"/>
    </row>
    <row r="282">
      <c r="F282" s="121"/>
    </row>
    <row r="283">
      <c r="F283" s="121"/>
    </row>
    <row r="284">
      <c r="F284" s="121"/>
    </row>
    <row r="285">
      <c r="F285" s="121"/>
    </row>
    <row r="286">
      <c r="F286" s="121"/>
    </row>
    <row r="287">
      <c r="F287" s="121"/>
    </row>
    <row r="288">
      <c r="F288" s="121"/>
    </row>
    <row r="289">
      <c r="F289" s="121"/>
    </row>
    <row r="290">
      <c r="F290" s="121"/>
    </row>
    <row r="291">
      <c r="F291" s="121"/>
    </row>
    <row r="292">
      <c r="F292" s="121"/>
    </row>
    <row r="293">
      <c r="F293" s="121"/>
    </row>
    <row r="294">
      <c r="F294" s="121"/>
    </row>
    <row r="295">
      <c r="F295" s="121"/>
    </row>
    <row r="296">
      <c r="F296" s="121"/>
    </row>
    <row r="297">
      <c r="F297" s="121"/>
    </row>
    <row r="298">
      <c r="F298" s="121"/>
    </row>
    <row r="299">
      <c r="F299" s="121"/>
    </row>
    <row r="300">
      <c r="F300" s="121"/>
    </row>
    <row r="301">
      <c r="F301" s="121"/>
    </row>
    <row r="302">
      <c r="F302" s="121"/>
    </row>
    <row r="303">
      <c r="F303" s="121"/>
    </row>
    <row r="304">
      <c r="F304" s="121"/>
    </row>
    <row r="305">
      <c r="F305" s="121"/>
    </row>
    <row r="306">
      <c r="F306" s="121"/>
    </row>
    <row r="307">
      <c r="F307" s="121"/>
    </row>
    <row r="308">
      <c r="F308" s="121"/>
    </row>
    <row r="309">
      <c r="F309" s="121"/>
    </row>
    <row r="310">
      <c r="F310" s="121"/>
    </row>
    <row r="311">
      <c r="F311" s="121"/>
    </row>
    <row r="312">
      <c r="F312" s="121"/>
    </row>
    <row r="313">
      <c r="F313" s="121"/>
    </row>
    <row r="314">
      <c r="F314" s="121"/>
    </row>
    <row r="315">
      <c r="F315" s="121"/>
    </row>
    <row r="316">
      <c r="F316" s="121"/>
    </row>
    <row r="317">
      <c r="F317" s="121"/>
    </row>
    <row r="318">
      <c r="F318" s="121"/>
    </row>
    <row r="319">
      <c r="F319" s="121"/>
    </row>
    <row r="320">
      <c r="F320" s="121"/>
    </row>
    <row r="321">
      <c r="F321" s="121"/>
    </row>
    <row r="322">
      <c r="F322" s="121"/>
    </row>
    <row r="323">
      <c r="F323" s="121"/>
    </row>
    <row r="324">
      <c r="F324" s="121"/>
    </row>
    <row r="325">
      <c r="F325" s="121"/>
    </row>
    <row r="326">
      <c r="F326" s="121"/>
    </row>
    <row r="327">
      <c r="F327" s="121"/>
    </row>
    <row r="328">
      <c r="F328" s="121"/>
    </row>
    <row r="329">
      <c r="F329" s="121"/>
    </row>
    <row r="330">
      <c r="F330" s="121"/>
    </row>
    <row r="331">
      <c r="F331" s="121"/>
    </row>
    <row r="332">
      <c r="F332" s="121"/>
    </row>
    <row r="333">
      <c r="F333" s="121"/>
    </row>
    <row r="334">
      <c r="F334" s="121"/>
    </row>
    <row r="335">
      <c r="F335" s="121"/>
    </row>
    <row r="336">
      <c r="F336" s="121"/>
    </row>
    <row r="337">
      <c r="F337" s="121"/>
    </row>
    <row r="338">
      <c r="F338" s="121"/>
    </row>
    <row r="339">
      <c r="F339" s="121"/>
    </row>
    <row r="340">
      <c r="F340" s="121"/>
    </row>
    <row r="341">
      <c r="F341" s="121"/>
    </row>
    <row r="342">
      <c r="F342" s="121"/>
    </row>
    <row r="343">
      <c r="F343" s="121"/>
    </row>
    <row r="344">
      <c r="F344" s="121"/>
    </row>
    <row r="345">
      <c r="F345" s="121"/>
    </row>
    <row r="346">
      <c r="F346" s="121"/>
    </row>
    <row r="347">
      <c r="F347" s="121"/>
    </row>
    <row r="348">
      <c r="F348" s="121"/>
    </row>
    <row r="349">
      <c r="F349" s="121"/>
    </row>
    <row r="350">
      <c r="F350" s="121"/>
    </row>
    <row r="351">
      <c r="F351" s="121"/>
    </row>
    <row r="352">
      <c r="F352" s="121"/>
    </row>
    <row r="353">
      <c r="F353" s="121"/>
    </row>
    <row r="354">
      <c r="F354" s="121"/>
    </row>
    <row r="355">
      <c r="F355" s="121"/>
    </row>
    <row r="356">
      <c r="F356" s="121"/>
    </row>
    <row r="357">
      <c r="F357" s="121"/>
    </row>
    <row r="358">
      <c r="F358" s="121"/>
    </row>
    <row r="359">
      <c r="F359" s="121"/>
    </row>
    <row r="360">
      <c r="F360" s="121"/>
    </row>
    <row r="361">
      <c r="F361" s="121"/>
    </row>
    <row r="362">
      <c r="F362" s="121"/>
    </row>
    <row r="363">
      <c r="F363" s="121"/>
    </row>
    <row r="364">
      <c r="F364" s="121"/>
    </row>
    <row r="365">
      <c r="F365" s="121"/>
    </row>
    <row r="366">
      <c r="F366" s="121"/>
    </row>
    <row r="367">
      <c r="F367" s="121"/>
    </row>
    <row r="368">
      <c r="F368" s="121"/>
    </row>
    <row r="369">
      <c r="F369" s="121"/>
    </row>
    <row r="370">
      <c r="F370" s="121"/>
    </row>
    <row r="371">
      <c r="F371" s="121"/>
    </row>
    <row r="372">
      <c r="F372" s="121"/>
    </row>
    <row r="373">
      <c r="F373" s="121"/>
    </row>
    <row r="374">
      <c r="F374" s="121"/>
    </row>
    <row r="375">
      <c r="F375" s="121"/>
    </row>
    <row r="376">
      <c r="F376" s="121"/>
    </row>
    <row r="377">
      <c r="F377" s="121"/>
    </row>
    <row r="378">
      <c r="F378" s="121"/>
    </row>
    <row r="379">
      <c r="F379" s="121"/>
    </row>
    <row r="380">
      <c r="F380" s="121"/>
    </row>
    <row r="381">
      <c r="F381" s="121"/>
    </row>
    <row r="382">
      <c r="F382" s="121"/>
    </row>
    <row r="383">
      <c r="F383" s="121"/>
    </row>
    <row r="384">
      <c r="F384" s="121"/>
    </row>
    <row r="385">
      <c r="F385" s="121"/>
    </row>
    <row r="386">
      <c r="F386" s="121"/>
    </row>
    <row r="387">
      <c r="F387" s="121"/>
    </row>
    <row r="388">
      <c r="F388" s="121"/>
    </row>
    <row r="389">
      <c r="F389" s="121"/>
    </row>
    <row r="390">
      <c r="F390" s="121"/>
    </row>
    <row r="391">
      <c r="F391" s="121"/>
    </row>
    <row r="392">
      <c r="F392" s="121"/>
    </row>
    <row r="393">
      <c r="F393" s="121"/>
    </row>
    <row r="394">
      <c r="F394" s="121"/>
    </row>
    <row r="395">
      <c r="F395" s="121"/>
    </row>
    <row r="396">
      <c r="F396" s="121"/>
    </row>
    <row r="397">
      <c r="F397" s="121"/>
    </row>
    <row r="398">
      <c r="F398" s="121"/>
    </row>
    <row r="399">
      <c r="F399" s="121"/>
    </row>
    <row r="400">
      <c r="F400" s="121"/>
    </row>
    <row r="401">
      <c r="F401" s="121"/>
    </row>
    <row r="402">
      <c r="F402" s="121"/>
    </row>
    <row r="403">
      <c r="F403" s="121"/>
    </row>
    <row r="404">
      <c r="F404" s="121"/>
    </row>
    <row r="405">
      <c r="F405" s="121"/>
    </row>
    <row r="406">
      <c r="F406" s="121"/>
    </row>
    <row r="407">
      <c r="F407" s="121"/>
    </row>
    <row r="408">
      <c r="F408" s="121"/>
    </row>
    <row r="409">
      <c r="F409" s="121"/>
    </row>
    <row r="410">
      <c r="F410" s="121"/>
    </row>
    <row r="411">
      <c r="F411" s="121"/>
    </row>
    <row r="412">
      <c r="F412" s="121"/>
    </row>
    <row r="413">
      <c r="F413" s="121"/>
    </row>
    <row r="414">
      <c r="F414" s="121"/>
    </row>
    <row r="415">
      <c r="F415" s="121"/>
    </row>
    <row r="416">
      <c r="F416" s="121"/>
    </row>
    <row r="417">
      <c r="F417" s="121"/>
    </row>
    <row r="418">
      <c r="F418" s="121"/>
    </row>
    <row r="419">
      <c r="F419" s="121"/>
    </row>
    <row r="420">
      <c r="F420" s="121"/>
    </row>
    <row r="421">
      <c r="F421" s="121"/>
    </row>
    <row r="422">
      <c r="F422" s="121"/>
    </row>
    <row r="423">
      <c r="F423" s="121"/>
    </row>
    <row r="424">
      <c r="F424" s="121"/>
    </row>
    <row r="425">
      <c r="F425" s="121"/>
    </row>
    <row r="426">
      <c r="F426" s="121"/>
    </row>
    <row r="427">
      <c r="F427" s="121"/>
    </row>
    <row r="428">
      <c r="F428" s="121"/>
    </row>
    <row r="429">
      <c r="F429" s="121"/>
    </row>
    <row r="430">
      <c r="F430" s="121"/>
    </row>
    <row r="431">
      <c r="F431" s="121"/>
    </row>
    <row r="432">
      <c r="F432" s="121"/>
    </row>
    <row r="433">
      <c r="F433" s="121"/>
    </row>
    <row r="434">
      <c r="F434" s="121"/>
    </row>
    <row r="435">
      <c r="F435" s="121"/>
    </row>
    <row r="436">
      <c r="F436" s="121"/>
    </row>
    <row r="437">
      <c r="F437" s="121"/>
    </row>
    <row r="438">
      <c r="F438" s="121"/>
    </row>
    <row r="439">
      <c r="F439" s="121"/>
    </row>
    <row r="440">
      <c r="F440" s="121"/>
    </row>
    <row r="441">
      <c r="F441" s="121"/>
    </row>
    <row r="442">
      <c r="F442" s="121"/>
    </row>
    <row r="443">
      <c r="F443" s="121"/>
    </row>
    <row r="444">
      <c r="F444" s="121"/>
    </row>
    <row r="445">
      <c r="F445" s="121"/>
    </row>
    <row r="446">
      <c r="F446" s="121"/>
    </row>
    <row r="447">
      <c r="F447" s="121"/>
    </row>
    <row r="448">
      <c r="F448" s="121"/>
    </row>
    <row r="449">
      <c r="F449" s="121"/>
    </row>
    <row r="450">
      <c r="F450" s="121"/>
    </row>
    <row r="451">
      <c r="F451" s="121"/>
    </row>
    <row r="452">
      <c r="F452" s="121"/>
    </row>
    <row r="453">
      <c r="F453" s="121"/>
    </row>
    <row r="454">
      <c r="F454" s="121"/>
    </row>
    <row r="455">
      <c r="F455" s="121"/>
    </row>
    <row r="456">
      <c r="F456" s="121"/>
    </row>
    <row r="457">
      <c r="F457" s="121"/>
    </row>
    <row r="458">
      <c r="F458" s="121"/>
    </row>
    <row r="459">
      <c r="F459" s="121"/>
    </row>
    <row r="460">
      <c r="F460" s="121"/>
    </row>
    <row r="461">
      <c r="F461" s="121"/>
    </row>
    <row r="462">
      <c r="F462" s="121"/>
    </row>
    <row r="463">
      <c r="F463" s="121"/>
    </row>
    <row r="464">
      <c r="F464" s="121"/>
    </row>
    <row r="465">
      <c r="F465" s="121"/>
    </row>
    <row r="466">
      <c r="F466" s="121"/>
    </row>
    <row r="467">
      <c r="F467" s="121"/>
    </row>
    <row r="468">
      <c r="F468" s="121"/>
    </row>
    <row r="469">
      <c r="F469" s="121"/>
    </row>
    <row r="470">
      <c r="F470" s="121"/>
    </row>
    <row r="471">
      <c r="F471" s="121"/>
    </row>
    <row r="472">
      <c r="F472" s="121"/>
    </row>
    <row r="473">
      <c r="F473" s="121"/>
    </row>
    <row r="474">
      <c r="F474" s="121"/>
    </row>
    <row r="475">
      <c r="F475" s="121"/>
    </row>
    <row r="476">
      <c r="F476" s="121"/>
    </row>
    <row r="477">
      <c r="F477" s="121"/>
    </row>
    <row r="478">
      <c r="F478" s="121"/>
    </row>
    <row r="479">
      <c r="F479" s="121"/>
    </row>
    <row r="480">
      <c r="F480" s="121"/>
    </row>
    <row r="481">
      <c r="F481" s="121"/>
    </row>
    <row r="482">
      <c r="F482" s="121"/>
    </row>
    <row r="483">
      <c r="F483" s="121"/>
    </row>
    <row r="484">
      <c r="F484" s="121"/>
    </row>
    <row r="485">
      <c r="F485" s="121"/>
    </row>
    <row r="486">
      <c r="F486" s="121"/>
    </row>
    <row r="487">
      <c r="F487" s="121"/>
    </row>
    <row r="488">
      <c r="F488" s="121"/>
    </row>
    <row r="489">
      <c r="F489" s="121"/>
    </row>
    <row r="490">
      <c r="F490" s="121"/>
    </row>
    <row r="491">
      <c r="F491" s="121"/>
    </row>
    <row r="492">
      <c r="F492" s="121"/>
    </row>
    <row r="493">
      <c r="F493" s="121"/>
    </row>
    <row r="494">
      <c r="F494" s="121"/>
    </row>
    <row r="495">
      <c r="F495" s="121"/>
    </row>
    <row r="496">
      <c r="F496" s="121"/>
    </row>
    <row r="497">
      <c r="F497" s="121"/>
    </row>
    <row r="498">
      <c r="F498" s="121"/>
    </row>
    <row r="499">
      <c r="F499" s="121"/>
    </row>
    <row r="500">
      <c r="F500" s="121"/>
    </row>
    <row r="501">
      <c r="F501" s="121"/>
    </row>
    <row r="502">
      <c r="F502" s="121"/>
    </row>
    <row r="503">
      <c r="F503" s="121"/>
    </row>
    <row r="504">
      <c r="F504" s="121"/>
    </row>
    <row r="505">
      <c r="F505" s="121"/>
    </row>
    <row r="506">
      <c r="F506" s="121"/>
    </row>
    <row r="507">
      <c r="F507" s="121"/>
    </row>
    <row r="508">
      <c r="F508" s="121"/>
    </row>
    <row r="509">
      <c r="F509" s="121"/>
    </row>
    <row r="510">
      <c r="F510" s="121"/>
    </row>
    <row r="511">
      <c r="F511" s="121"/>
    </row>
    <row r="512">
      <c r="F512" s="121"/>
    </row>
    <row r="513">
      <c r="F513" s="121"/>
    </row>
    <row r="514">
      <c r="F514" s="121"/>
    </row>
    <row r="515">
      <c r="F515" s="121"/>
    </row>
    <row r="516">
      <c r="F516" s="121"/>
    </row>
    <row r="517">
      <c r="F517" s="121"/>
    </row>
    <row r="518">
      <c r="F518" s="121"/>
    </row>
    <row r="519">
      <c r="F519" s="121"/>
    </row>
    <row r="520">
      <c r="F520" s="121"/>
    </row>
    <row r="521">
      <c r="F521" s="121"/>
    </row>
    <row r="522">
      <c r="F522" s="121"/>
    </row>
    <row r="523">
      <c r="F523" s="121"/>
    </row>
    <row r="524">
      <c r="F524" s="121"/>
    </row>
    <row r="525">
      <c r="F525" s="121"/>
    </row>
    <row r="526">
      <c r="F526" s="121"/>
    </row>
    <row r="527">
      <c r="F527" s="121"/>
    </row>
    <row r="528">
      <c r="F528" s="121"/>
    </row>
    <row r="529">
      <c r="F529" s="121"/>
    </row>
    <row r="530">
      <c r="F530" s="121"/>
    </row>
    <row r="531">
      <c r="F531" s="121"/>
    </row>
    <row r="532">
      <c r="F532" s="121"/>
    </row>
    <row r="533">
      <c r="F533" s="121"/>
    </row>
    <row r="534">
      <c r="F534" s="121"/>
    </row>
    <row r="535">
      <c r="F535" s="121"/>
    </row>
    <row r="536">
      <c r="F536" s="121"/>
    </row>
    <row r="537">
      <c r="F537" s="121"/>
    </row>
    <row r="538">
      <c r="F538" s="121"/>
    </row>
    <row r="539">
      <c r="F539" s="121"/>
    </row>
    <row r="540">
      <c r="F540" s="121"/>
    </row>
    <row r="541">
      <c r="F541" s="121"/>
    </row>
    <row r="542">
      <c r="F542" s="121"/>
    </row>
    <row r="543">
      <c r="F543" s="121"/>
    </row>
    <row r="544">
      <c r="F544" s="121"/>
    </row>
    <row r="545">
      <c r="F545" s="121"/>
    </row>
    <row r="546">
      <c r="F546" s="121"/>
    </row>
    <row r="547">
      <c r="F547" s="121"/>
    </row>
    <row r="548">
      <c r="F548" s="121"/>
    </row>
    <row r="549">
      <c r="F549" s="121"/>
    </row>
    <row r="550">
      <c r="F550" s="121"/>
    </row>
    <row r="551">
      <c r="F551" s="121"/>
    </row>
    <row r="552">
      <c r="F552" s="121"/>
    </row>
    <row r="553">
      <c r="F553" s="121"/>
    </row>
    <row r="554">
      <c r="F554" s="121"/>
    </row>
    <row r="555">
      <c r="F555" s="121"/>
    </row>
    <row r="556">
      <c r="F556" s="121"/>
    </row>
    <row r="557">
      <c r="F557" s="121"/>
    </row>
    <row r="558">
      <c r="F558" s="121"/>
    </row>
    <row r="559">
      <c r="F559" s="121"/>
    </row>
    <row r="560">
      <c r="F560" s="121"/>
    </row>
    <row r="561">
      <c r="F561" s="121"/>
    </row>
    <row r="562">
      <c r="F562" s="121"/>
    </row>
    <row r="563">
      <c r="F563" s="121"/>
    </row>
    <row r="564">
      <c r="F564" s="121"/>
    </row>
    <row r="565">
      <c r="F565" s="121"/>
    </row>
    <row r="566">
      <c r="F566" s="121"/>
    </row>
    <row r="567">
      <c r="F567" s="121"/>
    </row>
    <row r="568">
      <c r="F568" s="121"/>
    </row>
    <row r="569">
      <c r="F569" s="121"/>
    </row>
    <row r="570">
      <c r="F570" s="121"/>
    </row>
    <row r="571">
      <c r="F571" s="121"/>
    </row>
    <row r="572">
      <c r="F572" s="121"/>
    </row>
    <row r="573">
      <c r="F573" s="121"/>
    </row>
    <row r="574">
      <c r="F574" s="121"/>
    </row>
    <row r="575">
      <c r="F575" s="121"/>
    </row>
    <row r="576">
      <c r="F576" s="121"/>
    </row>
    <row r="577">
      <c r="F577" s="121"/>
    </row>
    <row r="578">
      <c r="F578" s="121"/>
    </row>
    <row r="579">
      <c r="F579" s="121"/>
    </row>
    <row r="580">
      <c r="F580" s="121"/>
    </row>
    <row r="581">
      <c r="F581" s="121"/>
    </row>
    <row r="582">
      <c r="F582" s="121"/>
    </row>
    <row r="583">
      <c r="F583" s="121"/>
    </row>
    <row r="584">
      <c r="F584" s="121"/>
    </row>
    <row r="585">
      <c r="F585" s="121"/>
    </row>
    <row r="586">
      <c r="F586" s="121"/>
    </row>
    <row r="587">
      <c r="F587" s="121"/>
    </row>
    <row r="588">
      <c r="F588" s="121"/>
    </row>
    <row r="589">
      <c r="F589" s="121"/>
    </row>
    <row r="590">
      <c r="F590" s="121"/>
    </row>
    <row r="591">
      <c r="F591" s="121"/>
    </row>
    <row r="592">
      <c r="F592" s="121"/>
    </row>
    <row r="593">
      <c r="F593" s="121"/>
    </row>
    <row r="594">
      <c r="F594" s="121"/>
    </row>
    <row r="595">
      <c r="F595" s="121"/>
    </row>
    <row r="596">
      <c r="F596" s="121"/>
    </row>
    <row r="597">
      <c r="F597" s="121"/>
    </row>
    <row r="598">
      <c r="F598" s="121"/>
    </row>
    <row r="599">
      <c r="F599" s="121"/>
    </row>
    <row r="600">
      <c r="F600" s="121"/>
    </row>
    <row r="601">
      <c r="F601" s="121"/>
    </row>
    <row r="602">
      <c r="F602" s="121"/>
    </row>
    <row r="603">
      <c r="F603" s="121"/>
    </row>
    <row r="604">
      <c r="F604" s="121"/>
    </row>
    <row r="605">
      <c r="F605" s="121"/>
    </row>
    <row r="606">
      <c r="F606" s="121"/>
    </row>
    <row r="607">
      <c r="F607" s="121"/>
    </row>
    <row r="608">
      <c r="F608" s="121"/>
    </row>
    <row r="609">
      <c r="F609" s="121"/>
    </row>
    <row r="610">
      <c r="F610" s="121"/>
    </row>
    <row r="611">
      <c r="F611" s="121"/>
    </row>
    <row r="612">
      <c r="F612" s="121"/>
    </row>
    <row r="613">
      <c r="F613" s="121"/>
    </row>
    <row r="614">
      <c r="F614" s="121"/>
    </row>
    <row r="615">
      <c r="F615" s="121"/>
    </row>
    <row r="616">
      <c r="F616" s="121"/>
    </row>
    <row r="617">
      <c r="F617" s="121"/>
    </row>
    <row r="618">
      <c r="F618" s="121"/>
    </row>
    <row r="619">
      <c r="F619" s="121"/>
    </row>
    <row r="620">
      <c r="F620" s="121"/>
    </row>
    <row r="621">
      <c r="F621" s="121"/>
    </row>
    <row r="622">
      <c r="F622" s="121"/>
    </row>
    <row r="623">
      <c r="F623" s="121"/>
    </row>
    <row r="624">
      <c r="F624" s="121"/>
    </row>
    <row r="625">
      <c r="F625" s="121"/>
    </row>
    <row r="626">
      <c r="F626" s="121"/>
    </row>
    <row r="627">
      <c r="F627" s="121"/>
    </row>
    <row r="628">
      <c r="F628" s="121"/>
    </row>
    <row r="629">
      <c r="F629" s="121"/>
    </row>
    <row r="630">
      <c r="F630" s="121"/>
    </row>
    <row r="631">
      <c r="F631" s="121"/>
    </row>
    <row r="632">
      <c r="F632" s="121"/>
    </row>
    <row r="633">
      <c r="F633" s="121"/>
    </row>
    <row r="634">
      <c r="F634" s="121"/>
    </row>
    <row r="635">
      <c r="F635" s="121"/>
    </row>
    <row r="636">
      <c r="F636" s="121"/>
    </row>
    <row r="637">
      <c r="F637" s="121"/>
    </row>
    <row r="638">
      <c r="F638" s="121"/>
    </row>
    <row r="639">
      <c r="F639" s="121"/>
    </row>
    <row r="640">
      <c r="F640" s="121"/>
    </row>
    <row r="641">
      <c r="F641" s="121"/>
    </row>
    <row r="642">
      <c r="F642" s="121"/>
    </row>
    <row r="643">
      <c r="F643" s="121"/>
    </row>
    <row r="644">
      <c r="F644" s="121"/>
    </row>
    <row r="645">
      <c r="F645" s="121"/>
    </row>
    <row r="646">
      <c r="F646" s="121"/>
    </row>
    <row r="647">
      <c r="F647" s="121"/>
    </row>
    <row r="648">
      <c r="F648" s="121"/>
    </row>
    <row r="649">
      <c r="F649" s="121"/>
    </row>
    <row r="650">
      <c r="F650" s="121"/>
    </row>
    <row r="651">
      <c r="F651" s="121"/>
    </row>
    <row r="652">
      <c r="F652" s="121"/>
    </row>
    <row r="653">
      <c r="F653" s="121"/>
    </row>
    <row r="654">
      <c r="F654" s="121"/>
    </row>
    <row r="655">
      <c r="F655" s="121"/>
    </row>
    <row r="656">
      <c r="F656" s="121"/>
    </row>
    <row r="657">
      <c r="F657" s="121"/>
    </row>
    <row r="658">
      <c r="F658" s="121"/>
    </row>
    <row r="659">
      <c r="F659" s="121"/>
    </row>
    <row r="660">
      <c r="F660" s="121"/>
    </row>
    <row r="661">
      <c r="F661" s="121"/>
    </row>
    <row r="662">
      <c r="F662" s="121"/>
    </row>
    <row r="663">
      <c r="F663" s="121"/>
    </row>
    <row r="664">
      <c r="F664" s="121"/>
    </row>
    <row r="665">
      <c r="F665" s="121"/>
    </row>
    <row r="666">
      <c r="F666" s="121"/>
    </row>
    <row r="667">
      <c r="F667" s="121"/>
    </row>
    <row r="668">
      <c r="F668" s="121"/>
    </row>
    <row r="669">
      <c r="F669" s="121"/>
    </row>
    <row r="670">
      <c r="F670" s="121"/>
    </row>
    <row r="671">
      <c r="F671" s="121"/>
    </row>
    <row r="672">
      <c r="F672" s="121"/>
    </row>
    <row r="673">
      <c r="F673" s="121"/>
    </row>
    <row r="674">
      <c r="F674" s="121"/>
    </row>
    <row r="675">
      <c r="F675" s="121"/>
    </row>
    <row r="676">
      <c r="F676" s="121"/>
    </row>
    <row r="677">
      <c r="F677" s="121"/>
    </row>
    <row r="678">
      <c r="F678" s="121"/>
    </row>
    <row r="679">
      <c r="F679" s="121"/>
    </row>
    <row r="680">
      <c r="F680" s="121"/>
    </row>
    <row r="681">
      <c r="F681" s="121"/>
    </row>
    <row r="682">
      <c r="F682" s="121"/>
    </row>
    <row r="683">
      <c r="F683" s="121"/>
    </row>
    <row r="684">
      <c r="F684" s="121"/>
    </row>
    <row r="685">
      <c r="F685" s="121"/>
    </row>
    <row r="686">
      <c r="F686" s="121"/>
    </row>
    <row r="687">
      <c r="F687" s="121"/>
    </row>
    <row r="688">
      <c r="F688" s="121"/>
    </row>
    <row r="689">
      <c r="F689" s="121"/>
    </row>
    <row r="690">
      <c r="F690" s="121"/>
    </row>
    <row r="691">
      <c r="F691" s="121"/>
    </row>
    <row r="692">
      <c r="F692" s="121"/>
    </row>
    <row r="693">
      <c r="F693" s="121"/>
    </row>
    <row r="694">
      <c r="F694" s="121"/>
    </row>
    <row r="695">
      <c r="F695" s="121"/>
    </row>
    <row r="696">
      <c r="F696" s="121"/>
    </row>
    <row r="697">
      <c r="F697" s="121"/>
    </row>
    <row r="698">
      <c r="F698" s="121"/>
    </row>
    <row r="699">
      <c r="F699" s="121"/>
    </row>
    <row r="700">
      <c r="F700" s="121"/>
    </row>
    <row r="701">
      <c r="F701" s="121"/>
    </row>
    <row r="702">
      <c r="F702" s="121"/>
    </row>
    <row r="703">
      <c r="F703" s="121"/>
    </row>
    <row r="704">
      <c r="F704" s="121"/>
    </row>
    <row r="705">
      <c r="F705" s="121"/>
    </row>
    <row r="706">
      <c r="F706" s="121"/>
    </row>
    <row r="707">
      <c r="F707" s="121"/>
    </row>
    <row r="708">
      <c r="F708" s="121"/>
    </row>
    <row r="709">
      <c r="F709" s="121"/>
    </row>
    <row r="710">
      <c r="F710" s="121"/>
    </row>
    <row r="711">
      <c r="F711" s="121"/>
    </row>
    <row r="712">
      <c r="F712" s="121"/>
    </row>
    <row r="713">
      <c r="F713" s="121"/>
    </row>
    <row r="714">
      <c r="F714" s="121"/>
    </row>
    <row r="715">
      <c r="F715" s="121"/>
    </row>
    <row r="716">
      <c r="F716" s="121"/>
    </row>
    <row r="717">
      <c r="F717" s="121"/>
    </row>
    <row r="718">
      <c r="F718" s="121"/>
    </row>
    <row r="719">
      <c r="F719" s="121"/>
    </row>
    <row r="720">
      <c r="F720" s="121"/>
    </row>
    <row r="721">
      <c r="F721" s="121"/>
    </row>
    <row r="722">
      <c r="F722" s="121"/>
    </row>
    <row r="723">
      <c r="F723" s="121"/>
    </row>
    <row r="724">
      <c r="F724" s="121"/>
    </row>
    <row r="725">
      <c r="F725" s="121"/>
    </row>
    <row r="726">
      <c r="F726" s="121"/>
    </row>
    <row r="727">
      <c r="F727" s="121"/>
    </row>
    <row r="728">
      <c r="F728" s="121"/>
    </row>
    <row r="729">
      <c r="F729" s="121"/>
    </row>
    <row r="730">
      <c r="F730" s="121"/>
    </row>
    <row r="731">
      <c r="F731" s="121"/>
    </row>
    <row r="732">
      <c r="F732" s="121"/>
    </row>
    <row r="733">
      <c r="F733" s="121"/>
    </row>
    <row r="734">
      <c r="F734" s="121"/>
    </row>
    <row r="735">
      <c r="F735" s="121"/>
    </row>
    <row r="736">
      <c r="F736" s="121"/>
    </row>
    <row r="737">
      <c r="F737" s="121"/>
    </row>
    <row r="738">
      <c r="F738" s="121"/>
    </row>
    <row r="739">
      <c r="F739" s="121"/>
    </row>
    <row r="740">
      <c r="F740" s="121"/>
    </row>
    <row r="741">
      <c r="F741" s="121"/>
    </row>
    <row r="742">
      <c r="F742" s="121"/>
    </row>
    <row r="743">
      <c r="F743" s="121"/>
    </row>
    <row r="744">
      <c r="F744" s="121"/>
    </row>
    <row r="745">
      <c r="F745" s="121"/>
    </row>
    <row r="746">
      <c r="F746" s="121"/>
    </row>
    <row r="747">
      <c r="F747" s="121"/>
    </row>
    <row r="748">
      <c r="F748" s="121"/>
    </row>
    <row r="749">
      <c r="F749" s="121"/>
    </row>
    <row r="750">
      <c r="F750" s="121"/>
    </row>
    <row r="751">
      <c r="F751" s="121"/>
    </row>
    <row r="752">
      <c r="F752" s="121"/>
    </row>
    <row r="753">
      <c r="F753" s="121"/>
    </row>
    <row r="754">
      <c r="F754" s="121"/>
    </row>
    <row r="755">
      <c r="F755" s="121"/>
    </row>
    <row r="756">
      <c r="F756" s="121"/>
    </row>
    <row r="757">
      <c r="F757" s="121"/>
    </row>
    <row r="758">
      <c r="F758" s="121"/>
    </row>
    <row r="759">
      <c r="F759" s="121"/>
    </row>
    <row r="760">
      <c r="F760" s="121"/>
    </row>
    <row r="761">
      <c r="F761" s="121"/>
    </row>
    <row r="762">
      <c r="F762" s="121"/>
    </row>
    <row r="763">
      <c r="F763" s="121"/>
    </row>
    <row r="764">
      <c r="F764" s="121"/>
    </row>
    <row r="765">
      <c r="F765" s="121"/>
    </row>
    <row r="766">
      <c r="F766" s="121"/>
    </row>
    <row r="767">
      <c r="F767" s="121"/>
    </row>
    <row r="768">
      <c r="F768" s="121"/>
    </row>
    <row r="769">
      <c r="F769" s="121"/>
    </row>
    <row r="770">
      <c r="F770" s="121"/>
    </row>
    <row r="771">
      <c r="F771" s="121"/>
    </row>
    <row r="772">
      <c r="F772" s="121"/>
    </row>
    <row r="773">
      <c r="F773" s="121"/>
    </row>
    <row r="774">
      <c r="F774" s="121"/>
    </row>
    <row r="775">
      <c r="F775" s="121"/>
    </row>
    <row r="776">
      <c r="F776" s="121"/>
    </row>
    <row r="777">
      <c r="F777" s="121"/>
    </row>
    <row r="778">
      <c r="F778" s="121"/>
    </row>
    <row r="779">
      <c r="F779" s="121"/>
    </row>
    <row r="780">
      <c r="F780" s="121"/>
    </row>
    <row r="781">
      <c r="F781" s="121"/>
    </row>
    <row r="782">
      <c r="F782" s="121"/>
    </row>
    <row r="783">
      <c r="F783" s="121"/>
    </row>
    <row r="784">
      <c r="F784" s="121"/>
    </row>
    <row r="785">
      <c r="F785" s="121"/>
    </row>
    <row r="786">
      <c r="F786" s="121"/>
    </row>
    <row r="787">
      <c r="F787" s="121"/>
    </row>
    <row r="788">
      <c r="F788" s="121"/>
    </row>
    <row r="789">
      <c r="F789" s="121"/>
    </row>
    <row r="790">
      <c r="F790" s="121"/>
    </row>
    <row r="791">
      <c r="F791" s="121"/>
    </row>
    <row r="792">
      <c r="F792" s="121"/>
    </row>
    <row r="793">
      <c r="F793" s="121"/>
    </row>
    <row r="794">
      <c r="F794" s="121"/>
    </row>
    <row r="795">
      <c r="F795" s="121"/>
    </row>
    <row r="796">
      <c r="F796" s="121"/>
    </row>
    <row r="797">
      <c r="F797" s="121"/>
    </row>
    <row r="798">
      <c r="F798" s="121"/>
    </row>
    <row r="799">
      <c r="F799" s="121"/>
    </row>
    <row r="800">
      <c r="F800" s="121"/>
    </row>
    <row r="801">
      <c r="F801" s="121"/>
    </row>
    <row r="802">
      <c r="F802" s="121"/>
    </row>
    <row r="803">
      <c r="F803" s="121"/>
    </row>
    <row r="804">
      <c r="F804" s="121"/>
    </row>
    <row r="805">
      <c r="F805" s="121"/>
    </row>
    <row r="806">
      <c r="F806" s="121"/>
    </row>
    <row r="807">
      <c r="F807" s="121"/>
    </row>
    <row r="808">
      <c r="F808" s="121"/>
    </row>
    <row r="809">
      <c r="F809" s="121"/>
    </row>
    <row r="810">
      <c r="F810" s="121"/>
    </row>
    <row r="811">
      <c r="F811" s="121"/>
    </row>
    <row r="812">
      <c r="F812" s="121"/>
    </row>
    <row r="813">
      <c r="F813" s="121"/>
    </row>
    <row r="814">
      <c r="F814" s="121"/>
    </row>
    <row r="815">
      <c r="F815" s="121"/>
    </row>
    <row r="816">
      <c r="F816" s="121"/>
    </row>
    <row r="817">
      <c r="F817" s="121"/>
    </row>
    <row r="818">
      <c r="F818" s="121"/>
    </row>
    <row r="819">
      <c r="F819" s="121"/>
    </row>
    <row r="820">
      <c r="F820" s="121"/>
    </row>
    <row r="821">
      <c r="F821" s="121"/>
    </row>
    <row r="822">
      <c r="F822" s="121"/>
    </row>
    <row r="823">
      <c r="F823" s="121"/>
    </row>
    <row r="824">
      <c r="F824" s="121"/>
    </row>
    <row r="825">
      <c r="F825" s="121"/>
    </row>
    <row r="826">
      <c r="F826" s="121"/>
    </row>
    <row r="827">
      <c r="F827" s="121"/>
    </row>
    <row r="828">
      <c r="F828" s="121"/>
    </row>
    <row r="829">
      <c r="F829" s="121"/>
    </row>
    <row r="830">
      <c r="F830" s="121"/>
    </row>
    <row r="831">
      <c r="F831" s="121"/>
    </row>
    <row r="832">
      <c r="F832" s="121"/>
    </row>
    <row r="833">
      <c r="F833" s="121"/>
    </row>
    <row r="834">
      <c r="F834" s="121"/>
    </row>
    <row r="835">
      <c r="F835" s="121"/>
    </row>
    <row r="836">
      <c r="F836" s="121"/>
    </row>
    <row r="837">
      <c r="F837" s="121"/>
    </row>
    <row r="838">
      <c r="F838" s="121"/>
    </row>
    <row r="839">
      <c r="F839" s="121"/>
    </row>
    <row r="840">
      <c r="F840" s="121"/>
    </row>
    <row r="841">
      <c r="F841" s="121"/>
    </row>
    <row r="842">
      <c r="F842" s="121"/>
    </row>
    <row r="843">
      <c r="F843" s="121"/>
    </row>
    <row r="844">
      <c r="F844" s="121"/>
    </row>
    <row r="845">
      <c r="F845" s="121"/>
    </row>
    <row r="846">
      <c r="F846" s="121"/>
    </row>
    <row r="847">
      <c r="F847" s="121"/>
    </row>
    <row r="848">
      <c r="F848" s="121"/>
    </row>
    <row r="849">
      <c r="F849" s="121"/>
    </row>
    <row r="850">
      <c r="F850" s="121"/>
    </row>
    <row r="851">
      <c r="F851" s="121"/>
    </row>
    <row r="852">
      <c r="F852" s="121"/>
    </row>
    <row r="853">
      <c r="F853" s="121"/>
    </row>
    <row r="854">
      <c r="F854" s="121"/>
    </row>
    <row r="855">
      <c r="F855" s="121"/>
    </row>
    <row r="856">
      <c r="F856" s="121"/>
    </row>
    <row r="857">
      <c r="F857" s="121"/>
    </row>
    <row r="858">
      <c r="F858" s="121"/>
    </row>
    <row r="859">
      <c r="F859" s="121"/>
    </row>
    <row r="860">
      <c r="F860" s="121"/>
    </row>
    <row r="861">
      <c r="F861" s="121"/>
    </row>
    <row r="862">
      <c r="F862" s="121"/>
    </row>
    <row r="863">
      <c r="F863" s="121"/>
    </row>
    <row r="864">
      <c r="F864" s="121"/>
    </row>
    <row r="865">
      <c r="F865" s="121"/>
    </row>
    <row r="866">
      <c r="F866" s="121"/>
    </row>
    <row r="867">
      <c r="F867" s="121"/>
    </row>
    <row r="868">
      <c r="F868" s="121"/>
    </row>
    <row r="869">
      <c r="F869" s="121"/>
    </row>
    <row r="870">
      <c r="F870" s="121"/>
    </row>
    <row r="871">
      <c r="F871" s="121"/>
    </row>
    <row r="872">
      <c r="F872" s="121"/>
    </row>
    <row r="873">
      <c r="F873" s="121"/>
    </row>
    <row r="874">
      <c r="F874" s="121"/>
    </row>
    <row r="875">
      <c r="F875" s="121"/>
    </row>
    <row r="876">
      <c r="F876" s="121"/>
    </row>
    <row r="877">
      <c r="F877" s="121"/>
    </row>
    <row r="878">
      <c r="F878" s="121"/>
    </row>
    <row r="879">
      <c r="F879" s="121"/>
    </row>
    <row r="880">
      <c r="F880" s="121"/>
    </row>
    <row r="881">
      <c r="F881" s="121"/>
    </row>
    <row r="882">
      <c r="F882" s="121"/>
    </row>
    <row r="883">
      <c r="F883" s="121"/>
    </row>
    <row r="884">
      <c r="F884" s="121"/>
    </row>
    <row r="885">
      <c r="F885" s="121"/>
    </row>
    <row r="886">
      <c r="F886" s="121"/>
    </row>
    <row r="887">
      <c r="F887" s="121"/>
    </row>
    <row r="888">
      <c r="F888" s="121"/>
    </row>
    <row r="889">
      <c r="F889" s="121"/>
    </row>
    <row r="890">
      <c r="F890" s="121"/>
    </row>
    <row r="891">
      <c r="F891" s="121"/>
    </row>
    <row r="892">
      <c r="F892" s="121"/>
    </row>
    <row r="893">
      <c r="F893" s="121"/>
    </row>
    <row r="894">
      <c r="F894" s="121"/>
    </row>
    <row r="895">
      <c r="F895" s="121"/>
    </row>
    <row r="896">
      <c r="F896" s="121"/>
    </row>
    <row r="897">
      <c r="F897" s="121"/>
    </row>
    <row r="898">
      <c r="F898" s="121"/>
    </row>
    <row r="899">
      <c r="F899" s="121"/>
    </row>
    <row r="900">
      <c r="F900" s="121"/>
    </row>
    <row r="901">
      <c r="F901" s="121"/>
    </row>
    <row r="902">
      <c r="F902" s="121"/>
    </row>
    <row r="903">
      <c r="F903" s="121"/>
    </row>
    <row r="904">
      <c r="F904" s="121"/>
    </row>
    <row r="905">
      <c r="F905" s="121"/>
    </row>
    <row r="906">
      <c r="F906" s="121"/>
    </row>
    <row r="907">
      <c r="F907" s="121"/>
    </row>
    <row r="908">
      <c r="F908" s="121"/>
    </row>
    <row r="909">
      <c r="F909" s="121"/>
    </row>
    <row r="910">
      <c r="F910" s="121"/>
    </row>
    <row r="911">
      <c r="F911" s="121"/>
    </row>
    <row r="912">
      <c r="F912" s="121"/>
    </row>
    <row r="913">
      <c r="F913" s="121"/>
    </row>
    <row r="914">
      <c r="F914" s="121"/>
    </row>
    <row r="915">
      <c r="F915" s="121"/>
    </row>
    <row r="916">
      <c r="F916" s="121"/>
    </row>
    <row r="917">
      <c r="F917" s="121"/>
    </row>
    <row r="918">
      <c r="F918" s="121"/>
    </row>
    <row r="919">
      <c r="F919" s="121"/>
    </row>
    <row r="920">
      <c r="F920" s="121"/>
    </row>
    <row r="921">
      <c r="F921" s="121"/>
    </row>
    <row r="922">
      <c r="F922" s="121"/>
    </row>
    <row r="923">
      <c r="F923" s="121"/>
    </row>
    <row r="924">
      <c r="F924" s="121"/>
    </row>
    <row r="925">
      <c r="F925" s="121"/>
    </row>
    <row r="926">
      <c r="F926" s="121"/>
    </row>
    <row r="927">
      <c r="F927" s="121"/>
    </row>
    <row r="928">
      <c r="F928" s="121"/>
    </row>
    <row r="929">
      <c r="F929" s="121"/>
    </row>
    <row r="930">
      <c r="F930" s="121"/>
    </row>
    <row r="931">
      <c r="F931" s="121"/>
    </row>
    <row r="932">
      <c r="F932" s="121"/>
    </row>
    <row r="933">
      <c r="F933" s="121"/>
    </row>
    <row r="934">
      <c r="F934" s="121"/>
    </row>
    <row r="935">
      <c r="F935" s="121"/>
    </row>
    <row r="936">
      <c r="F936" s="121"/>
    </row>
    <row r="937">
      <c r="F937" s="121"/>
    </row>
    <row r="938">
      <c r="F938" s="121"/>
    </row>
    <row r="939">
      <c r="F939" s="121"/>
    </row>
    <row r="940">
      <c r="F940" s="121"/>
    </row>
    <row r="941">
      <c r="F941" s="121"/>
    </row>
    <row r="942">
      <c r="F942" s="121"/>
    </row>
    <row r="943">
      <c r="F943" s="121"/>
    </row>
    <row r="944">
      <c r="F944" s="121"/>
    </row>
    <row r="945">
      <c r="F945" s="121"/>
    </row>
    <row r="946">
      <c r="F946" s="121"/>
    </row>
    <row r="947">
      <c r="F947" s="121"/>
    </row>
    <row r="948">
      <c r="F948" s="121"/>
    </row>
    <row r="949">
      <c r="F949" s="121"/>
    </row>
    <row r="950">
      <c r="F950" s="121"/>
    </row>
    <row r="951">
      <c r="F951" s="121"/>
    </row>
    <row r="952">
      <c r="F952" s="121"/>
    </row>
    <row r="953">
      <c r="F953" s="121"/>
    </row>
    <row r="954">
      <c r="F954" s="121"/>
    </row>
    <row r="955">
      <c r="F955" s="121"/>
    </row>
    <row r="956">
      <c r="F956" s="121"/>
    </row>
    <row r="957">
      <c r="F957" s="121"/>
    </row>
    <row r="958">
      <c r="F958" s="121"/>
    </row>
    <row r="959">
      <c r="F959" s="121"/>
    </row>
    <row r="960">
      <c r="F960" s="121"/>
    </row>
    <row r="961">
      <c r="F961" s="121"/>
    </row>
    <row r="962">
      <c r="F962" s="121"/>
    </row>
    <row r="963">
      <c r="F963" s="121"/>
    </row>
    <row r="964">
      <c r="F964" s="121"/>
    </row>
    <row r="965">
      <c r="F965" s="121"/>
    </row>
    <row r="966">
      <c r="F966" s="121"/>
    </row>
    <row r="967">
      <c r="F967" s="121"/>
    </row>
    <row r="968">
      <c r="F968" s="121"/>
    </row>
    <row r="969">
      <c r="F969" s="121"/>
    </row>
    <row r="970">
      <c r="F970" s="121"/>
    </row>
    <row r="971">
      <c r="F971" s="121"/>
    </row>
    <row r="972">
      <c r="F972" s="121"/>
    </row>
    <row r="973">
      <c r="F973" s="121"/>
    </row>
    <row r="974">
      <c r="F974" s="121"/>
    </row>
    <row r="975">
      <c r="F975" s="121"/>
    </row>
    <row r="976">
      <c r="F976" s="121"/>
    </row>
    <row r="977">
      <c r="F977" s="121"/>
    </row>
    <row r="978">
      <c r="F978" s="121"/>
    </row>
    <row r="979">
      <c r="F979" s="121"/>
    </row>
    <row r="980">
      <c r="F980" s="121"/>
    </row>
    <row r="981">
      <c r="F981" s="121"/>
    </row>
    <row r="982">
      <c r="F982" s="121"/>
    </row>
    <row r="983">
      <c r="F983" s="121"/>
    </row>
    <row r="984">
      <c r="F984" s="121"/>
    </row>
    <row r="985">
      <c r="F985" s="121"/>
    </row>
    <row r="986">
      <c r="F986" s="121"/>
    </row>
    <row r="987">
      <c r="F987" s="121"/>
    </row>
    <row r="988">
      <c r="F988" s="121"/>
    </row>
    <row r="989">
      <c r="F989" s="121"/>
    </row>
    <row r="990">
      <c r="F990" s="121"/>
    </row>
    <row r="991">
      <c r="F991" s="121"/>
    </row>
    <row r="992">
      <c r="F992" s="121"/>
    </row>
    <row r="993">
      <c r="F993" s="121"/>
    </row>
    <row r="994">
      <c r="F994" s="121"/>
    </row>
    <row r="995">
      <c r="F995" s="121"/>
    </row>
    <row r="996">
      <c r="F996" s="121"/>
    </row>
    <row r="997">
      <c r="F997" s="121"/>
    </row>
    <row r="998">
      <c r="F998" s="121"/>
    </row>
    <row r="999">
      <c r="F999" s="121"/>
    </row>
  </sheetData>
  <mergeCells count="2">
    <mergeCell ref="O5:Q5"/>
    <mergeCell ref="A32:C32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75"/>
    <col customWidth="1" min="4" max="4" width="10.88"/>
    <col customWidth="1" min="6" max="6" width="13.88"/>
    <col customWidth="1" min="7" max="7" width="12.75"/>
    <col customWidth="1" min="12" max="12" width="8.25"/>
    <col customWidth="1" min="14" max="14" width="5.75"/>
    <col customWidth="1" min="15" max="15" width="8.38"/>
    <col customWidth="1" min="16" max="16" width="7.63"/>
    <col customWidth="1" min="17" max="17" width="8.25"/>
    <col customWidth="1" min="18" max="18" width="14.13"/>
    <col customWidth="1" min="19" max="19" width="7.75"/>
  </cols>
  <sheetData>
    <row r="1">
      <c r="A1" s="99" t="s">
        <v>36</v>
      </c>
      <c r="B1" s="127" t="s">
        <v>19</v>
      </c>
      <c r="C1" s="101" t="s">
        <v>1</v>
      </c>
      <c r="D1" s="101" t="s">
        <v>21</v>
      </c>
      <c r="E1" s="101" t="s">
        <v>22</v>
      </c>
      <c r="F1" s="102" t="s">
        <v>23</v>
      </c>
      <c r="G1" s="101" t="s">
        <v>24</v>
      </c>
      <c r="H1" s="101" t="s">
        <v>25</v>
      </c>
      <c r="I1" s="101" t="s">
        <v>26</v>
      </c>
      <c r="J1" s="101" t="s">
        <v>27</v>
      </c>
      <c r="K1" s="101" t="s">
        <v>37</v>
      </c>
      <c r="L1" s="101" t="s">
        <v>29</v>
      </c>
      <c r="M1" s="103" t="s">
        <v>30</v>
      </c>
      <c r="O1" s="104" t="s">
        <v>38</v>
      </c>
      <c r="P1" s="104" t="s">
        <v>15</v>
      </c>
      <c r="Q1" s="104" t="s">
        <v>6</v>
      </c>
      <c r="R1" s="105"/>
      <c r="S1" s="105"/>
      <c r="T1" s="105"/>
      <c r="U1" s="105"/>
    </row>
    <row r="2">
      <c r="A2" s="128">
        <f>IFERROR(__xludf.DUMMYFUNCTION("filter(All_Stores_Collection_Data,All_Stores_Collection_Data[Store]=""A12 NGOS COLONY"")"),45659.88753487269)</f>
        <v>45659.88753</v>
      </c>
      <c r="B2" s="129">
        <f>IFERROR(__xludf.DUMMYFUNCTION("""COMPUTED_VALUE"""),45658.0)</f>
        <v>45658</v>
      </c>
      <c r="C2" s="130" t="str">
        <f>IFERROR(__xludf.DUMMYFUNCTION("""COMPUTED_VALUE"""),"A12 NGOS COLONY")</f>
        <v>A12 NGOS COLONY</v>
      </c>
      <c r="D2" s="131">
        <f>IFERROR(__xludf.DUMMYFUNCTION("""COMPUTED_VALUE"""),82515.0)</f>
        <v>82515</v>
      </c>
      <c r="E2" s="131">
        <f>IFERROR(__xludf.DUMMYFUNCTION("""COMPUTED_VALUE"""),45859.0)</f>
        <v>45859</v>
      </c>
      <c r="F2" s="132">
        <f>IFERROR(__xludf.DUMMYFUNCTION("""COMPUTED_VALUE"""),15403.0)</f>
        <v>15403</v>
      </c>
      <c r="G2" s="131">
        <f>IFERROR(__xludf.DUMMYFUNCTION("""COMPUTED_VALUE"""),0.0)</f>
        <v>0</v>
      </c>
      <c r="H2" s="131">
        <f>IFERROR(__xludf.DUMMYFUNCTION("""COMPUTED_VALUE"""),3995.0)</f>
        <v>3995</v>
      </c>
      <c r="I2" s="131">
        <f>IFERROR(__xludf.DUMMYFUNCTION("""COMPUTED_VALUE"""),44934.0)</f>
        <v>44934</v>
      </c>
      <c r="J2" s="131">
        <f>IFERROR(__xludf.DUMMYFUNCTION("""COMPUTED_VALUE"""),45071.0)</f>
        <v>45071</v>
      </c>
      <c r="K2" s="131">
        <f>IFERROR(__xludf.DUMMYFUNCTION("""COMPUTED_VALUE"""),0.0)</f>
        <v>0</v>
      </c>
      <c r="L2" s="131">
        <f>IFERROR(__xludf.DUMMYFUNCTION("""COMPUTED_VALUE"""),105.0)</f>
        <v>105</v>
      </c>
      <c r="M2" s="133">
        <f>IFERROR(__xludf.DUMMYFUNCTION("""COMPUTED_VALUE"""),137.0)</f>
        <v>137</v>
      </c>
      <c r="N2" s="134"/>
      <c r="O2" s="113">
        <f>D32</f>
        <v>2069670</v>
      </c>
      <c r="P2" s="114">
        <f>sum(M1:M31)</f>
        <v>3663</v>
      </c>
      <c r="Q2" s="115">
        <f>(sum(D1:D31)-Sum(G1:G31))/P2</f>
        <v>559.7971608</v>
      </c>
      <c r="R2" s="114"/>
      <c r="S2" s="114"/>
      <c r="T2" s="115"/>
      <c r="U2" s="115"/>
      <c r="V2" s="134"/>
      <c r="W2" s="134"/>
      <c r="X2" s="134"/>
      <c r="Y2" s="134"/>
      <c r="Z2" s="134"/>
    </row>
    <row r="3">
      <c r="A3" s="135">
        <f>IFERROR(__xludf.DUMMYFUNCTION("""COMPUTED_VALUE"""),45659.92107167824)</f>
        <v>45659.92107</v>
      </c>
      <c r="B3" s="136">
        <f>IFERROR(__xludf.DUMMYFUNCTION("""COMPUTED_VALUE"""),45659.0)</f>
        <v>45659</v>
      </c>
      <c r="C3" s="118" t="str">
        <f>IFERROR(__xludf.DUMMYFUNCTION("""COMPUTED_VALUE"""),"A12 NGOS COLONY")</f>
        <v>A12 NGOS COLONY</v>
      </c>
      <c r="D3" s="119">
        <f>IFERROR(__xludf.DUMMYFUNCTION("""COMPUTED_VALUE"""),162173.0)</f>
        <v>162173</v>
      </c>
      <c r="E3" s="119">
        <f>IFERROR(__xludf.DUMMYFUNCTION("""COMPUTED_VALUE"""),49464.0)</f>
        <v>49464</v>
      </c>
      <c r="F3" s="120">
        <f>IFERROR(__xludf.DUMMYFUNCTION("""COMPUTED_VALUE"""),48210.0)</f>
        <v>48210</v>
      </c>
      <c r="G3" s="119"/>
      <c r="H3" s="119">
        <f>IFERROR(__xludf.DUMMYFUNCTION("""COMPUTED_VALUE"""),4038.0)</f>
        <v>4038</v>
      </c>
      <c r="I3" s="119">
        <f>IFERROR(__xludf.DUMMYFUNCTION("""COMPUTED_VALUE"""),45072.0)</f>
        <v>45072</v>
      </c>
      <c r="J3" s="119">
        <f>IFERROR(__xludf.DUMMYFUNCTION("""COMPUTED_VALUE"""),45290.0)</f>
        <v>45290</v>
      </c>
      <c r="K3" s="119">
        <f>IFERROR(__xludf.DUMMYFUNCTION("""COMPUTED_VALUE"""),72000.0)</f>
        <v>72000</v>
      </c>
      <c r="L3" s="119">
        <f>IFERROR(__xludf.DUMMYFUNCTION("""COMPUTED_VALUE"""),791.0)</f>
        <v>791</v>
      </c>
      <c r="M3" s="119">
        <f>IFERROR(__xludf.DUMMYFUNCTION("""COMPUTED_VALUE"""),218.0)</f>
        <v>218</v>
      </c>
    </row>
    <row r="4">
      <c r="A4" s="116">
        <f>IFERROR(__xludf.DUMMYFUNCTION("""COMPUTED_VALUE"""),45660.932200509254)</f>
        <v>45660.9322</v>
      </c>
      <c r="B4" s="136">
        <f>IFERROR(__xludf.DUMMYFUNCTION("""COMPUTED_VALUE"""),45660.0)</f>
        <v>45660</v>
      </c>
      <c r="C4" s="118" t="str">
        <f>IFERROR(__xludf.DUMMYFUNCTION("""COMPUTED_VALUE"""),"A12 NGOS COLONY")</f>
        <v>A12 NGOS COLONY</v>
      </c>
      <c r="D4" s="119">
        <f>IFERROR(__xludf.DUMMYFUNCTION("""COMPUTED_VALUE"""),126442.0)</f>
        <v>126442</v>
      </c>
      <c r="E4" s="119">
        <f>IFERROR(__xludf.DUMMYFUNCTION("""COMPUTED_VALUE"""),61273.0)</f>
        <v>61273</v>
      </c>
      <c r="F4" s="120">
        <f>IFERROR(__xludf.DUMMYFUNCTION("""COMPUTED_VALUE"""),29674.0)</f>
        <v>29674</v>
      </c>
      <c r="G4" s="118"/>
      <c r="H4" s="119">
        <f>IFERROR(__xludf.DUMMYFUNCTION("""COMPUTED_VALUE"""),1799.0)</f>
        <v>1799</v>
      </c>
      <c r="I4" s="119">
        <f>IFERROR(__xludf.DUMMYFUNCTION("""COMPUTED_VALUE"""),45291.0)</f>
        <v>45291</v>
      </c>
      <c r="J4" s="119">
        <f>IFERROR(__xludf.DUMMYFUNCTION("""COMPUTED_VALUE"""),45483.0)</f>
        <v>45483</v>
      </c>
      <c r="K4" s="119">
        <f>IFERROR(__xludf.DUMMYFUNCTION("""COMPUTED_VALUE"""),68500.0)</f>
        <v>68500</v>
      </c>
      <c r="L4" s="119">
        <f>IFERROR(__xludf.DUMMYFUNCTION("""COMPUTED_VALUE"""),530.0)</f>
        <v>530</v>
      </c>
      <c r="M4" s="119">
        <f>IFERROR(__xludf.DUMMYFUNCTION("""COMPUTED_VALUE"""),192.0)</f>
        <v>192</v>
      </c>
      <c r="O4" s="104" t="s">
        <v>39</v>
      </c>
    </row>
    <row r="5">
      <c r="A5" s="116">
        <f>IFERROR(__xludf.DUMMYFUNCTION("""COMPUTED_VALUE"""),45661.92309981481)</f>
        <v>45661.9231</v>
      </c>
      <c r="B5" s="136">
        <f>IFERROR(__xludf.DUMMYFUNCTION("""COMPUTED_VALUE"""),45661.0)</f>
        <v>45661</v>
      </c>
      <c r="C5" s="118" t="str">
        <f>IFERROR(__xludf.DUMMYFUNCTION("""COMPUTED_VALUE"""),"A12 NGOS COLONY")</f>
        <v>A12 NGOS COLONY</v>
      </c>
      <c r="D5" s="119">
        <f>IFERROR(__xludf.DUMMYFUNCTION("""COMPUTED_VALUE"""),125102.0)</f>
        <v>125102</v>
      </c>
      <c r="E5" s="119">
        <f>IFERROR(__xludf.DUMMYFUNCTION("""COMPUTED_VALUE"""),50081.0)</f>
        <v>50081</v>
      </c>
      <c r="F5" s="120">
        <f>IFERROR(__xludf.DUMMYFUNCTION("""COMPUTED_VALUE"""),25947.0)</f>
        <v>25947</v>
      </c>
      <c r="G5" s="118"/>
      <c r="H5" s="119">
        <f>IFERROR(__xludf.DUMMYFUNCTION("""COMPUTED_VALUE"""),6179.0)</f>
        <v>6179</v>
      </c>
      <c r="I5" s="119">
        <f>IFERROR(__xludf.DUMMYFUNCTION("""COMPUTED_VALUE"""),45484.0)</f>
        <v>45484</v>
      </c>
      <c r="J5" s="119">
        <f>IFERROR(__xludf.DUMMYFUNCTION("""COMPUTED_VALUE"""),45677.0)</f>
        <v>45677</v>
      </c>
      <c r="K5" s="119">
        <f>IFERROR(__xludf.DUMMYFUNCTION("""COMPUTED_VALUE"""),36500.0)</f>
        <v>36500</v>
      </c>
      <c r="L5" s="119">
        <f>IFERROR(__xludf.DUMMYFUNCTION("""COMPUTED_VALUE"""),344.0)</f>
        <v>344</v>
      </c>
      <c r="M5" s="119">
        <f>IFERROR(__xludf.DUMMYFUNCTION("""COMPUTED_VALUE"""),193.0)</f>
        <v>193</v>
      </c>
      <c r="O5" s="114">
        <f>SUMIF(A1:M30,Entry!B259,C1:C30)</f>
        <v>0</v>
      </c>
      <c r="P5" s="114" t="str">
        <f>VLOOKUP(Entry!B259,B:M,12,0)</f>
        <v>#REF!</v>
      </c>
      <c r="Q5" s="115" t="str">
        <f>(O5-Vlookup(Entry!B259,B:M,6,0))/P5</f>
        <v>#REF!</v>
      </c>
      <c r="R5" s="105"/>
      <c r="S5" s="105"/>
      <c r="T5" s="105"/>
      <c r="U5" s="105"/>
    </row>
    <row r="6">
      <c r="A6" s="116">
        <f>IFERROR(__xludf.DUMMYFUNCTION("""COMPUTED_VALUE"""),45662.925407118055)</f>
        <v>45662.92541</v>
      </c>
      <c r="B6" s="136">
        <f>IFERROR(__xludf.DUMMYFUNCTION("""COMPUTED_VALUE"""),45662.0)</f>
        <v>45662</v>
      </c>
      <c r="C6" s="118" t="str">
        <f>IFERROR(__xludf.DUMMYFUNCTION("""COMPUTED_VALUE"""),"A12 NGOS COLONY")</f>
        <v>A12 NGOS COLONY</v>
      </c>
      <c r="D6" s="119">
        <f>IFERROR(__xludf.DUMMYFUNCTION("""COMPUTED_VALUE"""),103983.0)</f>
        <v>103983</v>
      </c>
      <c r="E6" s="119">
        <f>IFERROR(__xludf.DUMMYFUNCTION("""COMPUTED_VALUE"""),53909.0)</f>
        <v>53909</v>
      </c>
      <c r="F6" s="120">
        <f>IFERROR(__xludf.DUMMYFUNCTION("""COMPUTED_VALUE"""),18829.0)</f>
        <v>18829</v>
      </c>
      <c r="G6" s="118"/>
      <c r="H6" s="119">
        <f>IFERROR(__xludf.DUMMYFUNCTION("""COMPUTED_VALUE"""),3178.0)</f>
        <v>3178</v>
      </c>
      <c r="I6" s="119">
        <f>IFERROR(__xludf.DUMMYFUNCTION("""COMPUTED_VALUE"""),45678.0)</f>
        <v>45678</v>
      </c>
      <c r="J6" s="119">
        <f>IFERROR(__xludf.DUMMYFUNCTION("""COMPUTED_VALUE"""),45873.0)</f>
        <v>45873</v>
      </c>
      <c r="K6" s="118"/>
      <c r="L6" s="119">
        <f>IFERROR(__xludf.DUMMYFUNCTION("""COMPUTED_VALUE"""),130.0)</f>
        <v>130</v>
      </c>
      <c r="M6" s="119">
        <f>IFERROR(__xludf.DUMMYFUNCTION("""COMPUTED_VALUE"""),195.0)</f>
        <v>195</v>
      </c>
      <c r="O6" s="114"/>
      <c r="P6" s="114"/>
      <c r="Q6" s="114"/>
      <c r="R6" s="114"/>
      <c r="S6" s="114"/>
      <c r="T6" s="115"/>
      <c r="U6" s="115"/>
    </row>
    <row r="7">
      <c r="A7" s="116">
        <f>IFERROR(__xludf.DUMMYFUNCTION("""COMPUTED_VALUE"""),45663.92851052083)</f>
        <v>45663.92851</v>
      </c>
      <c r="B7" s="136">
        <f>IFERROR(__xludf.DUMMYFUNCTION("""COMPUTED_VALUE"""),45663.0)</f>
        <v>45663</v>
      </c>
      <c r="C7" s="118" t="str">
        <f>IFERROR(__xludf.DUMMYFUNCTION("""COMPUTED_VALUE"""),"A12 NGOS COLONY")</f>
        <v>A12 NGOS COLONY</v>
      </c>
      <c r="D7" s="119">
        <f>IFERROR(__xludf.DUMMYFUNCTION("""COMPUTED_VALUE"""),107607.0)</f>
        <v>107607</v>
      </c>
      <c r="E7" s="119">
        <f>IFERROR(__xludf.DUMMYFUNCTION("""COMPUTED_VALUE"""),59207.0)</f>
        <v>59207</v>
      </c>
      <c r="F7" s="120">
        <f>IFERROR(__xludf.DUMMYFUNCTION("""COMPUTED_VALUE"""),10384.0)</f>
        <v>10384</v>
      </c>
      <c r="G7" s="118"/>
      <c r="H7" s="119">
        <f>IFERROR(__xludf.DUMMYFUNCTION("""COMPUTED_VALUE"""),3175.0)</f>
        <v>3175</v>
      </c>
      <c r="I7" s="119">
        <f>IFERROR(__xludf.DUMMYFUNCTION("""COMPUTED_VALUE"""),45874.0)</f>
        <v>45874</v>
      </c>
      <c r="J7" s="119">
        <f>IFERROR(__xludf.DUMMYFUNCTION("""COMPUTED_VALUE"""),46075.0)</f>
        <v>46075</v>
      </c>
      <c r="K7" s="118"/>
      <c r="L7" s="119">
        <f>IFERROR(__xludf.DUMMYFUNCTION("""COMPUTED_VALUE"""),391.0)</f>
        <v>391</v>
      </c>
      <c r="M7" s="119">
        <f>IFERROR(__xludf.DUMMYFUNCTION("""COMPUTED_VALUE"""),201.0)</f>
        <v>201</v>
      </c>
    </row>
    <row r="8">
      <c r="A8" s="116">
        <f>IFERROR(__xludf.DUMMYFUNCTION("""COMPUTED_VALUE"""),45664.93709908565)</f>
        <v>45664.9371</v>
      </c>
      <c r="B8" s="136">
        <f>IFERROR(__xludf.DUMMYFUNCTION("""COMPUTED_VALUE"""),45664.0)</f>
        <v>45664</v>
      </c>
      <c r="C8" s="118" t="str">
        <f>IFERROR(__xludf.DUMMYFUNCTION("""COMPUTED_VALUE"""),"A12 NGOS COLONY")</f>
        <v>A12 NGOS COLONY</v>
      </c>
      <c r="D8" s="119">
        <f>IFERROR(__xludf.DUMMYFUNCTION("""COMPUTED_VALUE"""),104992.0)</f>
        <v>104992</v>
      </c>
      <c r="E8" s="119">
        <f>IFERROR(__xludf.DUMMYFUNCTION("""COMPUTED_VALUE"""),37394.0)</f>
        <v>37394</v>
      </c>
      <c r="F8" s="120">
        <f>IFERROR(__xludf.DUMMYFUNCTION("""COMPUTED_VALUE"""),19559.0)</f>
        <v>19559</v>
      </c>
      <c r="G8" s="118"/>
      <c r="H8" s="119">
        <f>IFERROR(__xludf.DUMMYFUNCTION("""COMPUTED_VALUE"""),2035.0)</f>
        <v>2035</v>
      </c>
      <c r="I8" s="119">
        <f>IFERROR(__xludf.DUMMYFUNCTION("""COMPUTED_VALUE"""),46076.0)</f>
        <v>46076</v>
      </c>
      <c r="J8" s="119">
        <f>IFERROR(__xludf.DUMMYFUNCTION("""COMPUTED_VALUE"""),46249.0)</f>
        <v>46249</v>
      </c>
      <c r="K8" s="118"/>
      <c r="L8" s="119">
        <f>IFERROR(__xludf.DUMMYFUNCTION("""COMPUTED_VALUE"""),143.0)</f>
        <v>143</v>
      </c>
      <c r="M8" s="119">
        <f>IFERROR(__xludf.DUMMYFUNCTION("""COMPUTED_VALUE"""),173.0)</f>
        <v>173</v>
      </c>
    </row>
    <row r="9">
      <c r="A9" s="116">
        <f>IFERROR(__xludf.DUMMYFUNCTION("""COMPUTED_VALUE"""),45665.92693041667)</f>
        <v>45665.92693</v>
      </c>
      <c r="B9" s="136">
        <f>IFERROR(__xludf.DUMMYFUNCTION("""COMPUTED_VALUE"""),45665.0)</f>
        <v>45665</v>
      </c>
      <c r="C9" s="118" t="str">
        <f>IFERROR(__xludf.DUMMYFUNCTION("""COMPUTED_VALUE"""),"A12 NGOS COLONY")</f>
        <v>A12 NGOS COLONY</v>
      </c>
      <c r="D9" s="119">
        <f>IFERROR(__xludf.DUMMYFUNCTION("""COMPUTED_VALUE"""),98749.0)</f>
        <v>98749</v>
      </c>
      <c r="E9" s="119">
        <f>IFERROR(__xludf.DUMMYFUNCTION("""COMPUTED_VALUE"""),37394.0)</f>
        <v>37394</v>
      </c>
      <c r="F9" s="120">
        <f>IFERROR(__xludf.DUMMYFUNCTION("""COMPUTED_VALUE"""),26984.0)</f>
        <v>26984</v>
      </c>
      <c r="G9" s="118"/>
      <c r="H9" s="119">
        <f>IFERROR(__xludf.DUMMYFUNCTION("""COMPUTED_VALUE"""),7184.0)</f>
        <v>7184</v>
      </c>
      <c r="I9" s="119">
        <f>IFERROR(__xludf.DUMMYFUNCTION("""COMPUTED_VALUE"""),46250.0)</f>
        <v>46250</v>
      </c>
      <c r="J9" s="119">
        <f>IFERROR(__xludf.DUMMYFUNCTION("""COMPUTED_VALUE"""),46430.0)</f>
        <v>46430</v>
      </c>
      <c r="K9" s="118"/>
      <c r="L9" s="119">
        <f>IFERROR(__xludf.DUMMYFUNCTION("""COMPUTED_VALUE"""),70.0)</f>
        <v>70</v>
      </c>
      <c r="M9" s="119">
        <f>IFERROR(__xludf.DUMMYFUNCTION("""COMPUTED_VALUE"""),180.0)</f>
        <v>180</v>
      </c>
    </row>
    <row r="10">
      <c r="A10" s="116">
        <f>IFERROR(__xludf.DUMMYFUNCTION("""COMPUTED_VALUE"""),45666.94072864583)</f>
        <v>45666.94073</v>
      </c>
      <c r="B10" s="136">
        <f>IFERROR(__xludf.DUMMYFUNCTION("""COMPUTED_VALUE"""),45666.0)</f>
        <v>45666</v>
      </c>
      <c r="C10" s="118" t="str">
        <f>IFERROR(__xludf.DUMMYFUNCTION("""COMPUTED_VALUE"""),"A12 NGOS COLONY")</f>
        <v>A12 NGOS COLONY</v>
      </c>
      <c r="D10" s="119">
        <f>IFERROR(__xludf.DUMMYFUNCTION("""COMPUTED_VALUE"""),112257.0)</f>
        <v>112257</v>
      </c>
      <c r="E10" s="119">
        <f>IFERROR(__xludf.DUMMYFUNCTION("""COMPUTED_VALUE"""),39945.0)</f>
        <v>39945</v>
      </c>
      <c r="F10" s="120">
        <f>IFERROR(__xludf.DUMMYFUNCTION("""COMPUTED_VALUE"""),32196.0)</f>
        <v>32196</v>
      </c>
      <c r="G10" s="119">
        <f>IFERROR(__xludf.DUMMYFUNCTION("""COMPUTED_VALUE"""),1468.0)</f>
        <v>1468</v>
      </c>
      <c r="H10" s="119">
        <f>IFERROR(__xludf.DUMMYFUNCTION("""COMPUTED_VALUE"""),2086.0)</f>
        <v>2086</v>
      </c>
      <c r="I10" s="119">
        <f>IFERROR(__xludf.DUMMYFUNCTION("""COMPUTED_VALUE"""),46431.0)</f>
        <v>46431</v>
      </c>
      <c r="J10" s="119">
        <f>IFERROR(__xludf.DUMMYFUNCTION("""COMPUTED_VALUE"""),46600.0)</f>
        <v>46600</v>
      </c>
      <c r="K10" s="119">
        <f>IFERROR(__xludf.DUMMYFUNCTION("""COMPUTED_VALUE"""),39000.0)</f>
        <v>39000</v>
      </c>
      <c r="L10" s="119">
        <f>IFERROR(__xludf.DUMMYFUNCTION("""COMPUTED_VALUE"""),418.0)</f>
        <v>418</v>
      </c>
      <c r="M10" s="119">
        <f>IFERROR(__xludf.DUMMYFUNCTION("""COMPUTED_VALUE"""),169.0)</f>
        <v>169</v>
      </c>
    </row>
    <row r="11">
      <c r="A11" s="116">
        <f>IFERROR(__xludf.DUMMYFUNCTION("""COMPUTED_VALUE"""),45667.93294395834)</f>
        <v>45667.93294</v>
      </c>
      <c r="B11" s="136">
        <f>IFERROR(__xludf.DUMMYFUNCTION("""COMPUTED_VALUE"""),45667.0)</f>
        <v>45667</v>
      </c>
      <c r="C11" s="118" t="str">
        <f>IFERROR(__xludf.DUMMYFUNCTION("""COMPUTED_VALUE"""),"A12 NGOS COLONY")</f>
        <v>A12 NGOS COLONY</v>
      </c>
      <c r="D11" s="119">
        <f>IFERROR(__xludf.DUMMYFUNCTION("""COMPUTED_VALUE"""),92630.0)</f>
        <v>92630</v>
      </c>
      <c r="E11" s="119">
        <f>IFERROR(__xludf.DUMMYFUNCTION("""COMPUTED_VALUE"""),53853.0)</f>
        <v>53853</v>
      </c>
      <c r="F11" s="120">
        <f>IFERROR(__xludf.DUMMYFUNCTION("""COMPUTED_VALUE"""),27048.0)</f>
        <v>27048</v>
      </c>
      <c r="G11" s="119">
        <f>IFERROR(__xludf.DUMMYFUNCTION("""COMPUTED_VALUE"""),561.0)</f>
        <v>561</v>
      </c>
      <c r="H11" s="119">
        <f>IFERROR(__xludf.DUMMYFUNCTION("""COMPUTED_VALUE"""),2045.0)</f>
        <v>2045</v>
      </c>
      <c r="I11" s="119">
        <f>IFERROR(__xludf.DUMMYFUNCTION("""COMPUTED_VALUE"""),46601.0)</f>
        <v>46601</v>
      </c>
      <c r="J11" s="119">
        <f>IFERROR(__xludf.DUMMYFUNCTION("""COMPUTED_VALUE"""),46770.0)</f>
        <v>46770</v>
      </c>
      <c r="K11" s="119">
        <f>IFERROR(__xludf.DUMMYFUNCTION("""COMPUTED_VALUE"""),36500.0)</f>
        <v>36500</v>
      </c>
      <c r="L11" s="119">
        <f>IFERROR(__xludf.DUMMYFUNCTION("""COMPUTED_VALUE"""),288.0)</f>
        <v>288</v>
      </c>
      <c r="M11" s="119">
        <f>IFERROR(__xludf.DUMMYFUNCTION("""COMPUTED_VALUE"""),169.0)</f>
        <v>169</v>
      </c>
    </row>
    <row r="12">
      <c r="A12" s="116">
        <f>IFERROR(__xludf.DUMMYFUNCTION("""COMPUTED_VALUE"""),45668.93692179398)</f>
        <v>45668.93692</v>
      </c>
      <c r="B12" s="136">
        <f>IFERROR(__xludf.DUMMYFUNCTION("""COMPUTED_VALUE"""),45668.0)</f>
        <v>45668</v>
      </c>
      <c r="C12" s="118" t="str">
        <f>IFERROR(__xludf.DUMMYFUNCTION("""COMPUTED_VALUE"""),"A12 NGOS COLONY")</f>
        <v>A12 NGOS COLONY</v>
      </c>
      <c r="D12" s="119">
        <f>IFERROR(__xludf.DUMMYFUNCTION("""COMPUTED_VALUE"""),102780.0)</f>
        <v>102780</v>
      </c>
      <c r="E12" s="119">
        <f>IFERROR(__xludf.DUMMYFUNCTION("""COMPUTED_VALUE"""),65983.0)</f>
        <v>65983</v>
      </c>
      <c r="F12" s="120">
        <f>IFERROR(__xludf.DUMMYFUNCTION("""COMPUTED_VALUE"""),21980.0)</f>
        <v>21980</v>
      </c>
      <c r="G12" s="119">
        <f>IFERROR(__xludf.DUMMYFUNCTION("""COMPUTED_VALUE"""),168.0)</f>
        <v>168</v>
      </c>
      <c r="H12" s="119">
        <f>IFERROR(__xludf.DUMMYFUNCTION("""COMPUTED_VALUE"""),16486.0)</f>
        <v>16486</v>
      </c>
      <c r="I12" s="119">
        <f>IFERROR(__xludf.DUMMYFUNCTION("""COMPUTED_VALUE"""),46771.0)</f>
        <v>46771</v>
      </c>
      <c r="J12" s="119">
        <f>IFERROR(__xludf.DUMMYFUNCTION("""COMPUTED_VALUE"""),46969.0)</f>
        <v>46969</v>
      </c>
      <c r="K12" s="118"/>
      <c r="L12" s="119">
        <f>IFERROR(__xludf.DUMMYFUNCTION("""COMPUTED_VALUE"""),95.0)</f>
        <v>95</v>
      </c>
      <c r="M12" s="119">
        <f>IFERROR(__xludf.DUMMYFUNCTION("""COMPUTED_VALUE"""),198.0)</f>
        <v>198</v>
      </c>
    </row>
    <row r="13">
      <c r="A13" s="116">
        <f>IFERROR(__xludf.DUMMYFUNCTION("""COMPUTED_VALUE"""),45669.929660243055)</f>
        <v>45669.92966</v>
      </c>
      <c r="B13" s="136">
        <f>IFERROR(__xludf.DUMMYFUNCTION("""COMPUTED_VALUE"""),45669.0)</f>
        <v>45669</v>
      </c>
      <c r="C13" s="118" t="str">
        <f>IFERROR(__xludf.DUMMYFUNCTION("""COMPUTED_VALUE"""),"A12 NGOS COLONY")</f>
        <v>A12 NGOS COLONY</v>
      </c>
      <c r="D13" s="119">
        <f>IFERROR(__xludf.DUMMYFUNCTION("""COMPUTED_VALUE"""),106749.0)</f>
        <v>106749</v>
      </c>
      <c r="E13" s="119">
        <f>IFERROR(__xludf.DUMMYFUNCTION("""COMPUTED_VALUE"""),52796.0)</f>
        <v>52796</v>
      </c>
      <c r="F13" s="120">
        <f>IFERROR(__xludf.DUMMYFUNCTION("""COMPUTED_VALUE"""),25963.0)</f>
        <v>25963</v>
      </c>
      <c r="G13" s="118"/>
      <c r="H13" s="119">
        <f>IFERROR(__xludf.DUMMYFUNCTION("""COMPUTED_VALUE"""),1451.0)</f>
        <v>1451</v>
      </c>
      <c r="I13" s="119">
        <f>IFERROR(__xludf.DUMMYFUNCTION("""COMPUTED_VALUE"""),46970.0)</f>
        <v>46970</v>
      </c>
      <c r="J13" s="119">
        <f>IFERROR(__xludf.DUMMYFUNCTION("""COMPUTED_VALUE"""),47159.0)</f>
        <v>47159</v>
      </c>
      <c r="K13" s="118"/>
      <c r="L13" s="119">
        <f>IFERROR(__xludf.DUMMYFUNCTION("""COMPUTED_VALUE"""),70.0)</f>
        <v>70</v>
      </c>
      <c r="M13" s="119">
        <f>IFERROR(__xludf.DUMMYFUNCTION("""COMPUTED_VALUE"""),189.0)</f>
        <v>189</v>
      </c>
    </row>
    <row r="14">
      <c r="A14" s="116">
        <f>IFERROR(__xludf.DUMMYFUNCTION("""COMPUTED_VALUE"""),45670.92482484954)</f>
        <v>45670.92482</v>
      </c>
      <c r="B14" s="136">
        <f>IFERROR(__xludf.DUMMYFUNCTION("""COMPUTED_VALUE"""),45670.0)</f>
        <v>45670</v>
      </c>
      <c r="C14" s="118" t="str">
        <f>IFERROR(__xludf.DUMMYFUNCTION("""COMPUTED_VALUE"""),"A12 NGOS COLONY")</f>
        <v>A12 NGOS COLONY</v>
      </c>
      <c r="D14" s="119">
        <f>IFERROR(__xludf.DUMMYFUNCTION("""COMPUTED_VALUE"""),81293.0)</f>
        <v>81293</v>
      </c>
      <c r="E14" s="119">
        <f>IFERROR(__xludf.DUMMYFUNCTION("""COMPUTED_VALUE"""),29478.0)</f>
        <v>29478</v>
      </c>
      <c r="F14" s="120">
        <f>IFERROR(__xludf.DUMMYFUNCTION("""COMPUTED_VALUE"""),11482.0)</f>
        <v>11482</v>
      </c>
      <c r="G14" s="118"/>
      <c r="H14" s="119">
        <f>IFERROR(__xludf.DUMMYFUNCTION("""COMPUTED_VALUE"""),14043.0)</f>
        <v>14043</v>
      </c>
      <c r="I14" s="119">
        <f>IFERROR(__xludf.DUMMYFUNCTION("""COMPUTED_VALUE"""),47160.0)</f>
        <v>47160</v>
      </c>
      <c r="J14" s="119">
        <f>IFERROR(__xludf.DUMMYFUNCTION("""COMPUTED_VALUE"""),47326.0)</f>
        <v>47326</v>
      </c>
      <c r="K14" s="119">
        <f>IFERROR(__xludf.DUMMYFUNCTION("""COMPUTED_VALUE"""),112000.0)</f>
        <v>112000</v>
      </c>
      <c r="L14" s="119">
        <f>IFERROR(__xludf.DUMMYFUNCTION("""COMPUTED_VALUE"""),420.0)</f>
        <v>420</v>
      </c>
      <c r="M14" s="119">
        <f>IFERROR(__xludf.DUMMYFUNCTION("""COMPUTED_VALUE"""),166.0)</f>
        <v>166</v>
      </c>
    </row>
    <row r="15">
      <c r="A15" s="116">
        <f>IFERROR(__xludf.DUMMYFUNCTION("""COMPUTED_VALUE"""),45671.91283731481)</f>
        <v>45671.91284</v>
      </c>
      <c r="B15" s="136">
        <f>IFERROR(__xludf.DUMMYFUNCTION("""COMPUTED_VALUE"""),45671.0)</f>
        <v>45671</v>
      </c>
      <c r="C15" s="118" t="str">
        <f>IFERROR(__xludf.DUMMYFUNCTION("""COMPUTED_VALUE"""),"A12 NGOS COLONY")</f>
        <v>A12 NGOS COLONY</v>
      </c>
      <c r="D15" s="119">
        <f>IFERROR(__xludf.DUMMYFUNCTION("""COMPUTED_VALUE"""),49472.0)</f>
        <v>49472</v>
      </c>
      <c r="E15" s="119">
        <f>IFERROR(__xludf.DUMMYFUNCTION("""COMPUTED_VALUE"""),25393.0)</f>
        <v>25393</v>
      </c>
      <c r="F15" s="120">
        <f>IFERROR(__xludf.DUMMYFUNCTION("""COMPUTED_VALUE"""),11246.0)</f>
        <v>11246</v>
      </c>
      <c r="G15" s="118"/>
      <c r="H15" s="119">
        <f>IFERROR(__xludf.DUMMYFUNCTION("""COMPUTED_VALUE"""),2692.0)</f>
        <v>2692</v>
      </c>
      <c r="I15" s="119">
        <f>IFERROR(__xludf.DUMMYFUNCTION("""COMPUTED_VALUE"""),47327.0)</f>
        <v>47327</v>
      </c>
      <c r="J15" s="119">
        <f>IFERROR(__xludf.DUMMYFUNCTION("""COMPUTED_VALUE"""),47449.0)</f>
        <v>47449</v>
      </c>
      <c r="K15" s="118"/>
      <c r="L15" s="119">
        <f>IFERROR(__xludf.DUMMYFUNCTION("""COMPUTED_VALUE"""),250.0)</f>
        <v>250</v>
      </c>
      <c r="M15" s="119">
        <f>IFERROR(__xludf.DUMMYFUNCTION("""COMPUTED_VALUE"""),122.0)</f>
        <v>122</v>
      </c>
    </row>
    <row r="16">
      <c r="A16" s="116">
        <f>IFERROR(__xludf.DUMMYFUNCTION("""COMPUTED_VALUE"""),45672.921296354165)</f>
        <v>45672.9213</v>
      </c>
      <c r="B16" s="136">
        <f>IFERROR(__xludf.DUMMYFUNCTION("""COMPUTED_VALUE"""),45672.0)</f>
        <v>45672</v>
      </c>
      <c r="C16" s="118" t="str">
        <f>IFERROR(__xludf.DUMMYFUNCTION("""COMPUTED_VALUE"""),"A12 NGOS COLONY")</f>
        <v>A12 NGOS COLONY</v>
      </c>
      <c r="D16" s="119">
        <f>IFERROR(__xludf.DUMMYFUNCTION("""COMPUTED_VALUE"""),76544.0)</f>
        <v>76544</v>
      </c>
      <c r="E16" s="119">
        <f>IFERROR(__xludf.DUMMYFUNCTION("""COMPUTED_VALUE"""),33812.0)</f>
        <v>33812</v>
      </c>
      <c r="F16" s="120">
        <f>IFERROR(__xludf.DUMMYFUNCTION("""COMPUTED_VALUE"""),5652.0)</f>
        <v>5652</v>
      </c>
      <c r="G16" s="119">
        <f>IFERROR(__xludf.DUMMYFUNCTION("""COMPUTED_VALUE"""),14603.0)</f>
        <v>14603</v>
      </c>
      <c r="H16" s="119">
        <f>IFERROR(__xludf.DUMMYFUNCTION("""COMPUTED_VALUE"""),5974.0)</f>
        <v>5974</v>
      </c>
      <c r="I16" s="119">
        <f>IFERROR(__xludf.DUMMYFUNCTION("""COMPUTED_VALUE"""),47450.0)</f>
        <v>47450</v>
      </c>
      <c r="J16" s="119">
        <f>IFERROR(__xludf.DUMMYFUNCTION("""COMPUTED_VALUE"""),47586.0)</f>
        <v>47586</v>
      </c>
      <c r="K16" s="119">
        <f>IFERROR(__xludf.DUMMYFUNCTION("""COMPUTED_VALUE"""),56000.0)</f>
        <v>56000</v>
      </c>
      <c r="L16" s="119">
        <f>IFERROR(__xludf.DUMMYFUNCTION("""COMPUTED_VALUE"""),270.0)</f>
        <v>270</v>
      </c>
      <c r="M16" s="119">
        <f>IFERROR(__xludf.DUMMYFUNCTION("""COMPUTED_VALUE"""),136.0)</f>
        <v>136</v>
      </c>
    </row>
    <row r="17">
      <c r="A17" s="116">
        <f>IFERROR(__xludf.DUMMYFUNCTION("""COMPUTED_VALUE"""),45673.9255894213)</f>
        <v>45673.92559</v>
      </c>
      <c r="B17" s="136">
        <f>IFERROR(__xludf.DUMMYFUNCTION("""COMPUTED_VALUE"""),45673.0)</f>
        <v>45673</v>
      </c>
      <c r="C17" s="118" t="str">
        <f>IFERROR(__xludf.DUMMYFUNCTION("""COMPUTED_VALUE"""),"A12 NGOS COLONY")</f>
        <v>A12 NGOS COLONY</v>
      </c>
      <c r="D17" s="119">
        <f>IFERROR(__xludf.DUMMYFUNCTION("""COMPUTED_VALUE"""),94450.0)</f>
        <v>94450</v>
      </c>
      <c r="E17" s="119">
        <f>IFERROR(__xludf.DUMMYFUNCTION("""COMPUTED_VALUE"""),42748.0)</f>
        <v>42748</v>
      </c>
      <c r="F17" s="120">
        <f>IFERROR(__xludf.DUMMYFUNCTION("""COMPUTED_VALUE"""),25911.0)</f>
        <v>25911</v>
      </c>
      <c r="G17" s="118"/>
      <c r="H17" s="119">
        <f>IFERROR(__xludf.DUMMYFUNCTION("""COMPUTED_VALUE"""),946.0)</f>
        <v>946</v>
      </c>
      <c r="I17" s="119">
        <f>IFERROR(__xludf.DUMMYFUNCTION("""COMPUTED_VALUE"""),47587.0)</f>
        <v>47587</v>
      </c>
      <c r="J17" s="119">
        <f>IFERROR(__xludf.DUMMYFUNCTION("""COMPUTED_VALUE"""),47751.0)</f>
        <v>47751</v>
      </c>
      <c r="K17" s="119">
        <f>IFERROR(__xludf.DUMMYFUNCTION("""COMPUTED_VALUE"""),19500.0)</f>
        <v>19500</v>
      </c>
      <c r="L17" s="119">
        <f>IFERROR(__xludf.DUMMYFUNCTION("""COMPUTED_VALUE"""),100.0)</f>
        <v>100</v>
      </c>
      <c r="M17" s="119">
        <f>IFERROR(__xludf.DUMMYFUNCTION("""COMPUTED_VALUE"""),164.0)</f>
        <v>164</v>
      </c>
    </row>
    <row r="18">
      <c r="A18" s="116">
        <f>IFERROR(__xludf.DUMMYFUNCTION("""COMPUTED_VALUE"""),45674.9285825)</f>
        <v>45674.92858</v>
      </c>
      <c r="B18" s="136">
        <f>IFERROR(__xludf.DUMMYFUNCTION("""COMPUTED_VALUE"""),45674.0)</f>
        <v>45674</v>
      </c>
      <c r="C18" s="118" t="str">
        <f>IFERROR(__xludf.DUMMYFUNCTION("""COMPUTED_VALUE"""),"A12 NGOS COLONY")</f>
        <v>A12 NGOS COLONY</v>
      </c>
      <c r="D18" s="119">
        <f>IFERROR(__xludf.DUMMYFUNCTION("""COMPUTED_VALUE"""),86565.0)</f>
        <v>86565</v>
      </c>
      <c r="E18" s="119">
        <f>IFERROR(__xludf.DUMMYFUNCTION("""COMPUTED_VALUE"""),52785.0)</f>
        <v>52785</v>
      </c>
      <c r="F18" s="120">
        <f>IFERROR(__xludf.DUMMYFUNCTION("""COMPUTED_VALUE"""),9081.0)</f>
        <v>9081</v>
      </c>
      <c r="G18" s="119"/>
      <c r="H18" s="119">
        <f>IFERROR(__xludf.DUMMYFUNCTION("""COMPUTED_VALUE"""),726.0)</f>
        <v>726</v>
      </c>
      <c r="I18" s="119">
        <f>IFERROR(__xludf.DUMMYFUNCTION("""COMPUTED_VALUE"""),47752.0)</f>
        <v>47752</v>
      </c>
      <c r="J18" s="119">
        <f>IFERROR(__xludf.DUMMYFUNCTION("""COMPUTED_VALUE"""),47902.0)</f>
        <v>47902</v>
      </c>
      <c r="K18" s="119">
        <f>IFERROR(__xludf.DUMMYFUNCTION("""COMPUTED_VALUE"""),18500.0)</f>
        <v>18500</v>
      </c>
      <c r="L18" s="119">
        <f>IFERROR(__xludf.DUMMYFUNCTION("""COMPUTED_VALUE"""),1210.0)</f>
        <v>1210</v>
      </c>
      <c r="M18" s="119">
        <f>IFERROR(__xludf.DUMMYFUNCTION("""COMPUTED_VALUE"""),150.0)</f>
        <v>150</v>
      </c>
    </row>
    <row r="19">
      <c r="A19" s="116">
        <f>IFERROR(__xludf.DUMMYFUNCTION("""COMPUTED_VALUE"""),45675.92588003472)</f>
        <v>45675.92588</v>
      </c>
      <c r="B19" s="136">
        <f>IFERROR(__xludf.DUMMYFUNCTION("""COMPUTED_VALUE"""),45675.0)</f>
        <v>45675</v>
      </c>
      <c r="C19" s="118" t="str">
        <f>IFERROR(__xludf.DUMMYFUNCTION("""COMPUTED_VALUE"""),"A12 NGOS COLONY")</f>
        <v>A12 NGOS COLONY</v>
      </c>
      <c r="D19" s="119">
        <f>IFERROR(__xludf.DUMMYFUNCTION("""COMPUTED_VALUE"""),95412.0)</f>
        <v>95412</v>
      </c>
      <c r="E19" s="119">
        <f>IFERROR(__xludf.DUMMYFUNCTION("""COMPUTED_VALUE"""),37596.0)</f>
        <v>37596</v>
      </c>
      <c r="F19" s="120">
        <f>IFERROR(__xludf.DUMMYFUNCTION("""COMPUTED_VALUE"""),29007.0)</f>
        <v>29007</v>
      </c>
      <c r="G19" s="118"/>
      <c r="H19" s="119">
        <f>IFERROR(__xludf.DUMMYFUNCTION("""COMPUTED_VALUE"""),33550.0)</f>
        <v>33550</v>
      </c>
      <c r="I19" s="119">
        <f>IFERROR(__xludf.DUMMYFUNCTION("""COMPUTED_VALUE"""),47903.0)</f>
        <v>47903</v>
      </c>
      <c r="J19" s="119">
        <f>IFERROR(__xludf.DUMMYFUNCTION("""COMPUTED_VALUE"""),48075.0)</f>
        <v>48075</v>
      </c>
      <c r="K19" s="119">
        <f>IFERROR(__xludf.DUMMYFUNCTION("""COMPUTED_VALUE"""),15000.0)</f>
        <v>15000</v>
      </c>
      <c r="L19" s="119">
        <f>IFERROR(__xludf.DUMMYFUNCTION("""COMPUTED_VALUE"""),248.0)</f>
        <v>248</v>
      </c>
      <c r="M19" s="119">
        <f>IFERROR(__xludf.DUMMYFUNCTION("""COMPUTED_VALUE"""),172.0)</f>
        <v>172</v>
      </c>
    </row>
    <row r="20">
      <c r="A20" s="116">
        <f>IFERROR(__xludf.DUMMYFUNCTION("""COMPUTED_VALUE"""),45676.93111841435)</f>
        <v>45676.93112</v>
      </c>
      <c r="B20" s="136">
        <f>IFERROR(__xludf.DUMMYFUNCTION("""COMPUTED_VALUE"""),45676.0)</f>
        <v>45676</v>
      </c>
      <c r="C20" s="118" t="str">
        <f>IFERROR(__xludf.DUMMYFUNCTION("""COMPUTED_VALUE"""),"A12 NGOS COLONY")</f>
        <v>A12 NGOS COLONY</v>
      </c>
      <c r="D20" s="119">
        <f>IFERROR(__xludf.DUMMYFUNCTION("""COMPUTED_VALUE"""),93383.0)</f>
        <v>93383</v>
      </c>
      <c r="E20" s="119">
        <f>IFERROR(__xludf.DUMMYFUNCTION("""COMPUTED_VALUE"""),40945.0)</f>
        <v>40945</v>
      </c>
      <c r="F20" s="120">
        <f>IFERROR(__xludf.DUMMYFUNCTION("""COMPUTED_VALUE"""),13412.0)</f>
        <v>13412</v>
      </c>
      <c r="G20" s="119">
        <f>IFERROR(__xludf.DUMMYFUNCTION("""COMPUTED_VALUE"""),2333.0)</f>
        <v>2333</v>
      </c>
      <c r="H20" s="119">
        <f>IFERROR(__xludf.DUMMYFUNCTION("""COMPUTED_VALUE"""),2820.0)</f>
        <v>2820</v>
      </c>
      <c r="I20" s="119">
        <f>IFERROR(__xludf.DUMMYFUNCTION("""COMPUTED_VALUE"""),48076.0)</f>
        <v>48076</v>
      </c>
      <c r="J20" s="119">
        <f>IFERROR(__xludf.DUMMYFUNCTION("""COMPUTED_VALUE"""),48265.0)</f>
        <v>48265</v>
      </c>
      <c r="K20" s="118"/>
      <c r="L20" s="119">
        <f>IFERROR(__xludf.DUMMYFUNCTION("""COMPUTED_VALUE"""),328.0)</f>
        <v>328</v>
      </c>
      <c r="M20" s="119">
        <f>IFERROR(__xludf.DUMMYFUNCTION("""COMPUTED_VALUE"""),189.0)</f>
        <v>189</v>
      </c>
    </row>
    <row r="21">
      <c r="A21" s="116">
        <f>IFERROR(__xludf.DUMMYFUNCTION("""COMPUTED_VALUE"""),45677.930175497684)</f>
        <v>45677.93018</v>
      </c>
      <c r="B21" s="136">
        <f>IFERROR(__xludf.DUMMYFUNCTION("""COMPUTED_VALUE"""),45677.0)</f>
        <v>45677</v>
      </c>
      <c r="C21" s="118" t="str">
        <f>IFERROR(__xludf.DUMMYFUNCTION("""COMPUTED_VALUE"""),"A12 NGOS COLONY")</f>
        <v>A12 NGOS COLONY</v>
      </c>
      <c r="D21" s="119">
        <f>IFERROR(__xludf.DUMMYFUNCTION("""COMPUTED_VALUE"""),79897.0)</f>
        <v>79897</v>
      </c>
      <c r="E21" s="119">
        <f>IFERROR(__xludf.DUMMYFUNCTION("""COMPUTED_VALUE"""),47598.0)</f>
        <v>47598</v>
      </c>
      <c r="F21" s="120">
        <f>IFERROR(__xludf.DUMMYFUNCTION("""COMPUTED_VALUE"""),3772.0)</f>
        <v>3772</v>
      </c>
      <c r="G21" s="118"/>
      <c r="H21" s="119">
        <f>IFERROR(__xludf.DUMMYFUNCTION("""COMPUTED_VALUE"""),3402.0)</f>
        <v>3402</v>
      </c>
      <c r="I21" s="119">
        <f>IFERROR(__xludf.DUMMYFUNCTION("""COMPUTED_VALUE"""),48266.0)</f>
        <v>48266</v>
      </c>
      <c r="J21" s="119">
        <f>IFERROR(__xludf.DUMMYFUNCTION("""COMPUTED_VALUE"""),48431.0)</f>
        <v>48431</v>
      </c>
      <c r="K21" s="119">
        <f>IFERROR(__xludf.DUMMYFUNCTION("""COMPUTED_VALUE"""),65000.0)</f>
        <v>65000</v>
      </c>
      <c r="L21" s="119">
        <f>IFERROR(__xludf.DUMMYFUNCTION("""COMPUTED_VALUE"""),2098.0)</f>
        <v>2098</v>
      </c>
      <c r="M21" s="119">
        <f>IFERROR(__xludf.DUMMYFUNCTION("""COMPUTED_VALUE"""),165.0)</f>
        <v>165</v>
      </c>
    </row>
    <row r="22">
      <c r="A22" s="116">
        <f>IFERROR(__xludf.DUMMYFUNCTION("""COMPUTED_VALUE"""),45678.928335358796)</f>
        <v>45678.92834</v>
      </c>
      <c r="B22" s="136">
        <f>IFERROR(__xludf.DUMMYFUNCTION("""COMPUTED_VALUE"""),45678.0)</f>
        <v>45678</v>
      </c>
      <c r="C22" s="118" t="str">
        <f>IFERROR(__xludf.DUMMYFUNCTION("""COMPUTED_VALUE"""),"A12 NGOS COLONY")</f>
        <v>A12 NGOS COLONY</v>
      </c>
      <c r="D22" s="119">
        <f>IFERROR(__xludf.DUMMYFUNCTION("""COMPUTED_VALUE"""),86675.0)</f>
        <v>86675</v>
      </c>
      <c r="E22" s="119">
        <f>IFERROR(__xludf.DUMMYFUNCTION("""COMPUTED_VALUE"""),29425.0)</f>
        <v>29425</v>
      </c>
      <c r="F22" s="120">
        <f>IFERROR(__xludf.DUMMYFUNCTION("""COMPUTED_VALUE"""),30838.0)</f>
        <v>30838</v>
      </c>
      <c r="G22" s="118"/>
      <c r="H22" s="119">
        <f>IFERROR(__xludf.DUMMYFUNCTION("""COMPUTED_VALUE"""),3347.0)</f>
        <v>3347</v>
      </c>
      <c r="I22" s="119">
        <f>IFERROR(__xludf.DUMMYFUNCTION("""COMPUTED_VALUE"""),48432.0)</f>
        <v>48432</v>
      </c>
      <c r="J22" s="119">
        <f>IFERROR(__xludf.DUMMYFUNCTION("""COMPUTED_VALUE"""),48617.0)</f>
        <v>48617</v>
      </c>
      <c r="K22" s="119">
        <f>IFERROR(__xludf.DUMMYFUNCTION("""COMPUTED_VALUE"""),28000.0)</f>
        <v>28000</v>
      </c>
      <c r="L22" s="119">
        <f>IFERROR(__xludf.DUMMYFUNCTION("""COMPUTED_VALUE"""),358.0)</f>
        <v>358</v>
      </c>
      <c r="M22" s="119">
        <f>IFERROR(__xludf.DUMMYFUNCTION("""COMPUTED_VALUE"""),185.0)</f>
        <v>185</v>
      </c>
    </row>
    <row r="23">
      <c r="B23" s="121"/>
      <c r="F23" s="121"/>
    </row>
    <row r="24">
      <c r="B24" s="121"/>
      <c r="F24" s="121"/>
    </row>
    <row r="25">
      <c r="B25" s="121"/>
      <c r="F25" s="121"/>
    </row>
    <row r="26">
      <c r="B26" s="121"/>
      <c r="F26" s="121"/>
    </row>
    <row r="27">
      <c r="B27" s="121"/>
      <c r="F27" s="121"/>
    </row>
    <row r="28">
      <c r="B28" s="121"/>
      <c r="F28" s="121"/>
    </row>
    <row r="29">
      <c r="B29" s="121"/>
      <c r="F29" s="121"/>
    </row>
    <row r="30">
      <c r="B30" s="121"/>
      <c r="F30" s="121"/>
    </row>
    <row r="31">
      <c r="B31" s="121"/>
      <c r="F31" s="121"/>
    </row>
    <row r="32">
      <c r="A32" s="137" t="s">
        <v>40</v>
      </c>
      <c r="D32" s="138">
        <f t="shared" ref="D32:M32" si="1">sum(D2:D31)</f>
        <v>2069670</v>
      </c>
      <c r="E32" s="138">
        <f t="shared" si="1"/>
        <v>946938</v>
      </c>
      <c r="F32" s="138">
        <f t="shared" si="1"/>
        <v>442578</v>
      </c>
      <c r="G32" s="139">
        <f t="shared" si="1"/>
        <v>19133</v>
      </c>
      <c r="H32" s="138">
        <f t="shared" si="1"/>
        <v>121151</v>
      </c>
      <c r="I32" s="138">
        <f t="shared" si="1"/>
        <v>981385</v>
      </c>
      <c r="J32" s="138">
        <f t="shared" si="1"/>
        <v>985048</v>
      </c>
      <c r="K32" s="138">
        <f t="shared" si="1"/>
        <v>566500</v>
      </c>
      <c r="L32" s="138">
        <f t="shared" si="1"/>
        <v>8657</v>
      </c>
      <c r="M32" s="138">
        <f t="shared" si="1"/>
        <v>3663</v>
      </c>
    </row>
    <row r="33">
      <c r="B33" s="121"/>
      <c r="F33" s="121"/>
    </row>
    <row r="34">
      <c r="B34" s="121"/>
      <c r="F34" s="121"/>
    </row>
    <row r="35">
      <c r="B35" s="121"/>
      <c r="F35" s="121"/>
    </row>
    <row r="36">
      <c r="B36" s="121"/>
      <c r="F36" s="121"/>
    </row>
    <row r="37">
      <c r="B37" s="121"/>
      <c r="F37" s="121"/>
    </row>
    <row r="38">
      <c r="B38" s="121"/>
      <c r="F38" s="121"/>
    </row>
    <row r="39">
      <c r="B39" s="121"/>
      <c r="F39" s="121"/>
    </row>
    <row r="40">
      <c r="B40" s="121"/>
      <c r="F40" s="121"/>
    </row>
    <row r="41">
      <c r="B41" s="121"/>
      <c r="F41" s="121"/>
    </row>
    <row r="42">
      <c r="B42" s="121"/>
      <c r="F42" s="121"/>
    </row>
    <row r="43">
      <c r="B43" s="121"/>
      <c r="F43" s="121"/>
    </row>
    <row r="44">
      <c r="B44" s="121"/>
      <c r="F44" s="121"/>
    </row>
    <row r="45">
      <c r="B45" s="121"/>
      <c r="F45" s="121"/>
    </row>
    <row r="46">
      <c r="B46" s="121"/>
      <c r="F46" s="121"/>
    </row>
    <row r="47">
      <c r="B47" s="121"/>
      <c r="F47" s="121"/>
    </row>
    <row r="48">
      <c r="B48" s="121"/>
      <c r="F48" s="121"/>
    </row>
    <row r="49">
      <c r="B49" s="121"/>
      <c r="F49" s="121"/>
    </row>
    <row r="50">
      <c r="B50" s="121"/>
      <c r="F50" s="121"/>
    </row>
    <row r="51">
      <c r="B51" s="121"/>
      <c r="F51" s="121"/>
    </row>
    <row r="52">
      <c r="B52" s="121"/>
      <c r="F52" s="121"/>
    </row>
    <row r="53">
      <c r="B53" s="121"/>
      <c r="F53" s="121"/>
    </row>
    <row r="54">
      <c r="B54" s="121"/>
      <c r="F54" s="121"/>
    </row>
    <row r="55">
      <c r="B55" s="121"/>
      <c r="F55" s="121"/>
    </row>
    <row r="56">
      <c r="B56" s="121"/>
      <c r="F56" s="121"/>
    </row>
    <row r="57">
      <c r="B57" s="121"/>
      <c r="F57" s="121"/>
    </row>
    <row r="58">
      <c r="B58" s="121"/>
      <c r="F58" s="121"/>
    </row>
    <row r="59">
      <c r="B59" s="121"/>
      <c r="F59" s="121"/>
    </row>
    <row r="60">
      <c r="B60" s="121"/>
      <c r="F60" s="121"/>
    </row>
    <row r="61">
      <c r="B61" s="121"/>
      <c r="F61" s="121"/>
    </row>
    <row r="62">
      <c r="B62" s="121"/>
      <c r="F62" s="121"/>
    </row>
    <row r="63">
      <c r="B63" s="121"/>
      <c r="F63" s="121"/>
    </row>
    <row r="64">
      <c r="B64" s="121"/>
      <c r="F64" s="121"/>
    </row>
    <row r="65">
      <c r="B65" s="121"/>
      <c r="F65" s="121"/>
    </row>
    <row r="66">
      <c r="B66" s="121"/>
      <c r="F66" s="121"/>
    </row>
    <row r="67">
      <c r="B67" s="121"/>
      <c r="F67" s="121"/>
    </row>
    <row r="68">
      <c r="B68" s="121"/>
      <c r="F68" s="121"/>
    </row>
    <row r="69">
      <c r="B69" s="121"/>
      <c r="F69" s="121"/>
    </row>
    <row r="70">
      <c r="B70" s="121"/>
      <c r="F70" s="121"/>
    </row>
    <row r="71">
      <c r="B71" s="121"/>
      <c r="F71" s="121"/>
    </row>
    <row r="72">
      <c r="B72" s="121"/>
      <c r="F72" s="121"/>
    </row>
    <row r="73">
      <c r="B73" s="121"/>
      <c r="F73" s="121"/>
    </row>
    <row r="74">
      <c r="B74" s="121"/>
      <c r="F74" s="121"/>
    </row>
    <row r="75">
      <c r="B75" s="121"/>
      <c r="F75" s="121"/>
    </row>
    <row r="76">
      <c r="B76" s="121"/>
      <c r="F76" s="121"/>
    </row>
    <row r="77">
      <c r="B77" s="121"/>
      <c r="F77" s="121"/>
    </row>
    <row r="78">
      <c r="B78" s="121"/>
      <c r="F78" s="121"/>
    </row>
    <row r="79">
      <c r="B79" s="121"/>
      <c r="F79" s="121"/>
    </row>
    <row r="80">
      <c r="B80" s="121"/>
      <c r="F80" s="121"/>
    </row>
    <row r="81">
      <c r="B81" s="121"/>
      <c r="F81" s="121"/>
    </row>
    <row r="82">
      <c r="B82" s="121"/>
      <c r="F82" s="121"/>
    </row>
    <row r="83">
      <c r="B83" s="121"/>
      <c r="F83" s="121"/>
    </row>
    <row r="84">
      <c r="B84" s="121"/>
      <c r="F84" s="121"/>
    </row>
    <row r="85">
      <c r="B85" s="121"/>
      <c r="F85" s="121"/>
    </row>
    <row r="86">
      <c r="B86" s="121"/>
      <c r="F86" s="121"/>
    </row>
    <row r="87">
      <c r="B87" s="121"/>
      <c r="F87" s="121"/>
    </row>
    <row r="88">
      <c r="B88" s="121"/>
      <c r="F88" s="121"/>
    </row>
    <row r="89">
      <c r="B89" s="121"/>
      <c r="F89" s="121"/>
    </row>
    <row r="90">
      <c r="B90" s="121"/>
      <c r="F90" s="121"/>
    </row>
    <row r="91">
      <c r="B91" s="121"/>
      <c r="F91" s="121"/>
    </row>
    <row r="92">
      <c r="B92" s="121"/>
      <c r="F92" s="121"/>
    </row>
    <row r="93">
      <c r="B93" s="121"/>
      <c r="F93" s="121"/>
    </row>
    <row r="94">
      <c r="B94" s="121"/>
      <c r="F94" s="121"/>
    </row>
    <row r="95">
      <c r="B95" s="121"/>
      <c r="F95" s="121"/>
    </row>
    <row r="96">
      <c r="B96" s="121"/>
      <c r="F96" s="121"/>
    </row>
    <row r="97">
      <c r="B97" s="121"/>
      <c r="F97" s="121"/>
    </row>
    <row r="98">
      <c r="B98" s="121"/>
      <c r="F98" s="121"/>
    </row>
    <row r="99">
      <c r="B99" s="121"/>
      <c r="F99" s="121"/>
    </row>
    <row r="100">
      <c r="B100" s="121"/>
      <c r="F100" s="121"/>
    </row>
    <row r="101">
      <c r="B101" s="121"/>
      <c r="F101" s="121"/>
    </row>
    <row r="102">
      <c r="B102" s="121"/>
      <c r="F102" s="121"/>
    </row>
    <row r="103">
      <c r="B103" s="121"/>
      <c r="F103" s="121"/>
    </row>
    <row r="104">
      <c r="B104" s="121"/>
      <c r="F104" s="121"/>
    </row>
    <row r="105">
      <c r="B105" s="121"/>
      <c r="F105" s="121"/>
    </row>
    <row r="106">
      <c r="B106" s="121"/>
      <c r="F106" s="121"/>
    </row>
    <row r="107">
      <c r="B107" s="121"/>
      <c r="F107" s="121"/>
    </row>
    <row r="108">
      <c r="B108" s="121"/>
      <c r="F108" s="121"/>
    </row>
    <row r="109">
      <c r="B109" s="121"/>
      <c r="F109" s="121"/>
    </row>
    <row r="110">
      <c r="B110" s="121"/>
      <c r="F110" s="121"/>
    </row>
    <row r="111">
      <c r="B111" s="121"/>
      <c r="F111" s="121"/>
    </row>
    <row r="112">
      <c r="B112" s="121"/>
      <c r="F112" s="121"/>
    </row>
    <row r="113">
      <c r="B113" s="121"/>
      <c r="F113" s="121"/>
    </row>
    <row r="114">
      <c r="B114" s="121"/>
      <c r="F114" s="121"/>
    </row>
    <row r="115">
      <c r="B115" s="121"/>
      <c r="F115" s="121"/>
    </row>
    <row r="116">
      <c r="B116" s="121"/>
      <c r="F116" s="121"/>
    </row>
    <row r="117">
      <c r="B117" s="121"/>
      <c r="F117" s="121"/>
    </row>
    <row r="118">
      <c r="B118" s="121"/>
      <c r="F118" s="121"/>
    </row>
    <row r="119">
      <c r="B119" s="121"/>
      <c r="F119" s="121"/>
    </row>
    <row r="120">
      <c r="B120" s="121"/>
      <c r="F120" s="121"/>
    </row>
    <row r="121">
      <c r="B121" s="121"/>
      <c r="F121" s="121"/>
    </row>
    <row r="122">
      <c r="B122" s="121"/>
      <c r="F122" s="121"/>
    </row>
    <row r="123">
      <c r="B123" s="121"/>
      <c r="F123" s="121"/>
    </row>
    <row r="124">
      <c r="B124" s="121"/>
      <c r="F124" s="121"/>
    </row>
    <row r="125">
      <c r="B125" s="121"/>
      <c r="F125" s="121"/>
    </row>
    <row r="126">
      <c r="B126" s="121"/>
      <c r="F126" s="121"/>
    </row>
    <row r="127">
      <c r="B127" s="121"/>
      <c r="F127" s="121"/>
    </row>
    <row r="128">
      <c r="B128" s="121"/>
      <c r="F128" s="121"/>
    </row>
    <row r="129">
      <c r="B129" s="121"/>
      <c r="F129" s="121"/>
    </row>
    <row r="130">
      <c r="B130" s="121"/>
      <c r="F130" s="121"/>
    </row>
    <row r="131">
      <c r="B131" s="121"/>
      <c r="F131" s="121"/>
    </row>
    <row r="132">
      <c r="B132" s="121"/>
      <c r="F132" s="121"/>
    </row>
    <row r="133">
      <c r="B133" s="121"/>
      <c r="F133" s="121"/>
    </row>
    <row r="134">
      <c r="B134" s="121"/>
      <c r="F134" s="121"/>
    </row>
    <row r="135">
      <c r="B135" s="121"/>
      <c r="F135" s="121"/>
    </row>
    <row r="136">
      <c r="B136" s="121"/>
      <c r="F136" s="121"/>
    </row>
    <row r="137">
      <c r="B137" s="121"/>
      <c r="F137" s="121"/>
    </row>
    <row r="138">
      <c r="B138" s="121"/>
      <c r="F138" s="121"/>
    </row>
    <row r="139">
      <c r="B139" s="121"/>
      <c r="F139" s="121"/>
    </row>
    <row r="140">
      <c r="B140" s="121"/>
      <c r="F140" s="121"/>
    </row>
    <row r="141">
      <c r="B141" s="121"/>
      <c r="F141" s="121"/>
    </row>
    <row r="142">
      <c r="B142" s="121"/>
      <c r="F142" s="121"/>
    </row>
    <row r="143">
      <c r="B143" s="121"/>
      <c r="F143" s="121"/>
    </row>
    <row r="144">
      <c r="B144" s="121"/>
      <c r="F144" s="121"/>
    </row>
    <row r="145">
      <c r="B145" s="121"/>
      <c r="F145" s="121"/>
    </row>
    <row r="146">
      <c r="B146" s="121"/>
      <c r="F146" s="121"/>
    </row>
    <row r="147">
      <c r="B147" s="121"/>
      <c r="F147" s="121"/>
    </row>
    <row r="148">
      <c r="B148" s="121"/>
      <c r="F148" s="121"/>
    </row>
    <row r="149">
      <c r="B149" s="121"/>
      <c r="F149" s="121"/>
    </row>
    <row r="150">
      <c r="B150" s="121"/>
      <c r="F150" s="121"/>
    </row>
    <row r="151">
      <c r="B151" s="121"/>
      <c r="F151" s="121"/>
    </row>
    <row r="152">
      <c r="B152" s="121"/>
      <c r="F152" s="121"/>
    </row>
    <row r="153">
      <c r="B153" s="121"/>
      <c r="F153" s="121"/>
    </row>
    <row r="154">
      <c r="B154" s="121"/>
      <c r="F154" s="121"/>
    </row>
    <row r="155">
      <c r="B155" s="121"/>
      <c r="F155" s="121"/>
    </row>
    <row r="156">
      <c r="B156" s="121"/>
      <c r="F156" s="121"/>
    </row>
    <row r="157">
      <c r="B157" s="121"/>
      <c r="F157" s="121"/>
    </row>
    <row r="158">
      <c r="B158" s="121"/>
      <c r="F158" s="121"/>
    </row>
    <row r="159">
      <c r="B159" s="121"/>
      <c r="F159" s="121"/>
    </row>
    <row r="160">
      <c r="B160" s="121"/>
      <c r="F160" s="121"/>
    </row>
    <row r="161">
      <c r="B161" s="121"/>
      <c r="F161" s="121"/>
    </row>
    <row r="162">
      <c r="B162" s="121"/>
      <c r="F162" s="121"/>
    </row>
    <row r="163">
      <c r="B163" s="121"/>
      <c r="F163" s="121"/>
    </row>
    <row r="164">
      <c r="B164" s="121"/>
      <c r="F164" s="121"/>
    </row>
    <row r="165">
      <c r="B165" s="121"/>
      <c r="F165" s="121"/>
    </row>
    <row r="166">
      <c r="B166" s="121"/>
      <c r="F166" s="121"/>
    </row>
    <row r="167">
      <c r="B167" s="121"/>
      <c r="F167" s="121"/>
    </row>
    <row r="168">
      <c r="B168" s="121"/>
      <c r="F168" s="121"/>
    </row>
    <row r="169">
      <c r="B169" s="121"/>
      <c r="F169" s="121"/>
    </row>
    <row r="170">
      <c r="B170" s="121"/>
      <c r="F170" s="121"/>
    </row>
    <row r="171">
      <c r="B171" s="121"/>
      <c r="F171" s="121"/>
    </row>
    <row r="172">
      <c r="B172" s="121"/>
      <c r="F172" s="121"/>
    </row>
    <row r="173">
      <c r="B173" s="121"/>
      <c r="F173" s="121"/>
    </row>
    <row r="174">
      <c r="B174" s="121"/>
      <c r="F174" s="121"/>
    </row>
    <row r="175">
      <c r="B175" s="121"/>
      <c r="F175" s="121"/>
    </row>
    <row r="176">
      <c r="B176" s="121"/>
      <c r="F176" s="121"/>
    </row>
    <row r="177">
      <c r="B177" s="121"/>
      <c r="F177" s="121"/>
    </row>
    <row r="178">
      <c r="B178" s="121"/>
      <c r="F178" s="121"/>
    </row>
    <row r="179">
      <c r="B179" s="121"/>
      <c r="F179" s="121"/>
    </row>
    <row r="180">
      <c r="B180" s="121"/>
      <c r="F180" s="121"/>
    </row>
    <row r="181">
      <c r="B181" s="121"/>
      <c r="F181" s="121"/>
    </row>
    <row r="182">
      <c r="B182" s="121"/>
      <c r="F182" s="121"/>
    </row>
    <row r="183">
      <c r="B183" s="121"/>
      <c r="F183" s="121"/>
    </row>
    <row r="184">
      <c r="B184" s="121"/>
      <c r="F184" s="121"/>
    </row>
    <row r="185">
      <c r="B185" s="121"/>
      <c r="F185" s="121"/>
    </row>
    <row r="186">
      <c r="B186" s="121"/>
      <c r="F186" s="121"/>
    </row>
    <row r="187">
      <c r="B187" s="121"/>
      <c r="F187" s="121"/>
    </row>
    <row r="188">
      <c r="B188" s="121"/>
      <c r="F188" s="121"/>
    </row>
    <row r="189">
      <c r="B189" s="121"/>
      <c r="F189" s="121"/>
    </row>
    <row r="190">
      <c r="B190" s="121"/>
      <c r="F190" s="121"/>
    </row>
    <row r="191">
      <c r="B191" s="121"/>
      <c r="F191" s="121"/>
    </row>
    <row r="192">
      <c r="B192" s="121"/>
      <c r="F192" s="121"/>
    </row>
    <row r="193">
      <c r="B193" s="121"/>
      <c r="F193" s="121"/>
    </row>
    <row r="194">
      <c r="B194" s="121"/>
      <c r="F194" s="121"/>
    </row>
    <row r="195">
      <c r="B195" s="121"/>
      <c r="F195" s="121"/>
    </row>
    <row r="196">
      <c r="B196" s="121"/>
      <c r="F196" s="121"/>
    </row>
    <row r="197">
      <c r="B197" s="121"/>
      <c r="F197" s="121"/>
    </row>
    <row r="198">
      <c r="B198" s="121"/>
      <c r="F198" s="121"/>
    </row>
    <row r="199">
      <c r="B199" s="121"/>
      <c r="F199" s="121"/>
    </row>
    <row r="200">
      <c r="B200" s="121"/>
      <c r="F200" s="121"/>
    </row>
    <row r="201">
      <c r="B201" s="121"/>
      <c r="F201" s="121"/>
    </row>
    <row r="202">
      <c r="B202" s="121"/>
      <c r="F202" s="121"/>
    </row>
    <row r="203">
      <c r="B203" s="121"/>
      <c r="F203" s="121"/>
    </row>
    <row r="204">
      <c r="B204" s="121"/>
      <c r="F204" s="121"/>
    </row>
    <row r="205">
      <c r="B205" s="121"/>
      <c r="F205" s="121"/>
    </row>
    <row r="206">
      <c r="B206" s="121"/>
      <c r="F206" s="121"/>
    </row>
    <row r="207">
      <c r="B207" s="121"/>
      <c r="F207" s="121"/>
    </row>
    <row r="208">
      <c r="B208" s="121"/>
      <c r="F208" s="121"/>
    </row>
    <row r="209">
      <c r="B209" s="121"/>
      <c r="F209" s="121"/>
    </row>
    <row r="210">
      <c r="B210" s="121"/>
      <c r="F210" s="121"/>
    </row>
    <row r="211">
      <c r="B211" s="121"/>
      <c r="F211" s="121"/>
    </row>
    <row r="212">
      <c r="B212" s="121"/>
      <c r="F212" s="121"/>
    </row>
    <row r="213">
      <c r="B213" s="121"/>
      <c r="F213" s="121"/>
    </row>
    <row r="214">
      <c r="B214" s="121"/>
      <c r="F214" s="121"/>
    </row>
    <row r="215">
      <c r="B215" s="121"/>
      <c r="F215" s="121"/>
    </row>
    <row r="216">
      <c r="B216" s="121"/>
      <c r="F216" s="121"/>
    </row>
    <row r="217">
      <c r="B217" s="121"/>
      <c r="F217" s="121"/>
    </row>
    <row r="218">
      <c r="B218" s="121"/>
      <c r="F218" s="121"/>
    </row>
    <row r="219">
      <c r="B219" s="121"/>
      <c r="F219" s="121"/>
    </row>
    <row r="220">
      <c r="B220" s="121"/>
      <c r="F220" s="121"/>
    </row>
    <row r="221">
      <c r="B221" s="121"/>
      <c r="F221" s="121"/>
    </row>
    <row r="222">
      <c r="B222" s="121"/>
      <c r="F222" s="121"/>
    </row>
    <row r="223">
      <c r="B223" s="121"/>
      <c r="F223" s="121"/>
    </row>
    <row r="224">
      <c r="B224" s="121"/>
      <c r="F224" s="121"/>
    </row>
    <row r="225">
      <c r="B225" s="121"/>
      <c r="F225" s="121"/>
    </row>
    <row r="226">
      <c r="B226" s="121"/>
      <c r="F226" s="121"/>
    </row>
    <row r="227">
      <c r="B227" s="121"/>
      <c r="F227" s="121"/>
    </row>
    <row r="228">
      <c r="B228" s="121"/>
      <c r="F228" s="121"/>
    </row>
    <row r="229">
      <c r="B229" s="121"/>
      <c r="F229" s="121"/>
    </row>
    <row r="230">
      <c r="B230" s="121"/>
      <c r="F230" s="121"/>
    </row>
    <row r="231">
      <c r="B231" s="121"/>
      <c r="F231" s="121"/>
    </row>
    <row r="232">
      <c r="B232" s="121"/>
      <c r="F232" s="121"/>
    </row>
    <row r="233">
      <c r="B233" s="121"/>
      <c r="F233" s="121"/>
    </row>
    <row r="234">
      <c r="B234" s="121"/>
      <c r="F234" s="121"/>
    </row>
    <row r="235">
      <c r="B235" s="121"/>
      <c r="F235" s="121"/>
    </row>
    <row r="236">
      <c r="B236" s="121"/>
      <c r="F236" s="121"/>
    </row>
    <row r="237">
      <c r="B237" s="121"/>
      <c r="F237" s="121"/>
    </row>
    <row r="238">
      <c r="B238" s="121"/>
      <c r="F238" s="121"/>
    </row>
    <row r="239">
      <c r="B239" s="121"/>
      <c r="F239" s="121"/>
    </row>
    <row r="240">
      <c r="B240" s="121"/>
      <c r="F240" s="121"/>
    </row>
    <row r="241">
      <c r="B241" s="121"/>
      <c r="F241" s="121"/>
    </row>
    <row r="242">
      <c r="B242" s="121"/>
      <c r="F242" s="121"/>
    </row>
    <row r="243">
      <c r="B243" s="121"/>
      <c r="F243" s="121"/>
    </row>
    <row r="244">
      <c r="B244" s="121"/>
      <c r="F244" s="121"/>
    </row>
    <row r="245">
      <c r="B245" s="121"/>
      <c r="F245" s="121"/>
    </row>
    <row r="246">
      <c r="B246" s="121"/>
      <c r="F246" s="121"/>
    </row>
    <row r="247">
      <c r="B247" s="121"/>
      <c r="F247" s="121"/>
    </row>
    <row r="248">
      <c r="B248" s="121"/>
      <c r="F248" s="121"/>
    </row>
    <row r="249">
      <c r="B249" s="121"/>
      <c r="F249" s="121"/>
    </row>
    <row r="250">
      <c r="B250" s="121"/>
      <c r="F250" s="121"/>
    </row>
    <row r="251">
      <c r="B251" s="121"/>
      <c r="F251" s="121"/>
    </row>
    <row r="252">
      <c r="B252" s="121"/>
      <c r="F252" s="121"/>
    </row>
    <row r="253">
      <c r="B253" s="121"/>
      <c r="F253" s="121"/>
    </row>
    <row r="254">
      <c r="B254" s="121"/>
      <c r="F254" s="121"/>
    </row>
    <row r="255">
      <c r="B255" s="121"/>
      <c r="F255" s="121"/>
    </row>
    <row r="256">
      <c r="B256" s="121"/>
      <c r="F256" s="121"/>
    </row>
    <row r="257">
      <c r="B257" s="121"/>
      <c r="F257" s="121"/>
    </row>
    <row r="258">
      <c r="B258" s="121"/>
      <c r="F258" s="121"/>
    </row>
    <row r="259">
      <c r="B259" s="121"/>
      <c r="F259" s="121"/>
    </row>
    <row r="260">
      <c r="B260" s="121"/>
      <c r="F260" s="121"/>
    </row>
    <row r="261">
      <c r="B261" s="121"/>
      <c r="F261" s="121"/>
    </row>
    <row r="262">
      <c r="B262" s="121"/>
      <c r="F262" s="121"/>
    </row>
    <row r="263">
      <c r="B263" s="121"/>
      <c r="F263" s="121"/>
    </row>
    <row r="264">
      <c r="B264" s="121"/>
      <c r="F264" s="121"/>
    </row>
    <row r="265">
      <c r="B265" s="121"/>
      <c r="F265" s="121"/>
    </row>
    <row r="266">
      <c r="B266" s="121"/>
      <c r="F266" s="121"/>
    </row>
    <row r="267">
      <c r="B267" s="121"/>
      <c r="F267" s="121"/>
    </row>
    <row r="268">
      <c r="B268" s="121"/>
      <c r="F268" s="121"/>
    </row>
    <row r="269">
      <c r="B269" s="121"/>
      <c r="F269" s="121"/>
    </row>
    <row r="270">
      <c r="B270" s="121"/>
      <c r="F270" s="121"/>
    </row>
    <row r="271">
      <c r="B271" s="121"/>
      <c r="F271" s="121"/>
    </row>
    <row r="272">
      <c r="B272" s="121"/>
      <c r="F272" s="121"/>
    </row>
    <row r="273">
      <c r="B273" s="121"/>
      <c r="F273" s="121"/>
    </row>
    <row r="274">
      <c r="B274" s="121"/>
      <c r="F274" s="121"/>
    </row>
    <row r="275">
      <c r="B275" s="121"/>
      <c r="F275" s="121"/>
    </row>
    <row r="276">
      <c r="B276" s="121"/>
      <c r="F276" s="121"/>
    </row>
    <row r="277">
      <c r="B277" s="121"/>
      <c r="F277" s="121"/>
    </row>
    <row r="278">
      <c r="B278" s="121"/>
      <c r="F278" s="121"/>
    </row>
    <row r="279">
      <c r="B279" s="121"/>
      <c r="F279" s="121"/>
    </row>
    <row r="280">
      <c r="B280" s="121"/>
      <c r="F280" s="121"/>
    </row>
    <row r="281">
      <c r="B281" s="121"/>
      <c r="F281" s="121"/>
    </row>
    <row r="282">
      <c r="B282" s="121"/>
      <c r="F282" s="121"/>
    </row>
    <row r="283">
      <c r="B283" s="121"/>
      <c r="F283" s="121"/>
    </row>
    <row r="284">
      <c r="B284" s="121"/>
      <c r="F284" s="121"/>
    </row>
    <row r="285">
      <c r="B285" s="121"/>
      <c r="F285" s="121"/>
    </row>
    <row r="286">
      <c r="B286" s="121"/>
      <c r="F286" s="121"/>
    </row>
    <row r="287">
      <c r="B287" s="121"/>
      <c r="F287" s="121"/>
    </row>
    <row r="288">
      <c r="B288" s="121"/>
      <c r="F288" s="121"/>
    </row>
    <row r="289">
      <c r="B289" s="121"/>
      <c r="F289" s="121"/>
    </row>
    <row r="290">
      <c r="B290" s="121"/>
      <c r="F290" s="121"/>
    </row>
    <row r="291">
      <c r="B291" s="121"/>
      <c r="F291" s="121"/>
    </row>
    <row r="292">
      <c r="B292" s="121"/>
      <c r="F292" s="121"/>
    </row>
    <row r="293">
      <c r="B293" s="121"/>
      <c r="F293" s="121"/>
    </row>
    <row r="294">
      <c r="B294" s="121"/>
      <c r="F294" s="121"/>
    </row>
    <row r="295">
      <c r="B295" s="121"/>
      <c r="F295" s="121"/>
    </row>
    <row r="296">
      <c r="B296" s="121"/>
      <c r="F296" s="121"/>
    </row>
    <row r="297">
      <c r="B297" s="121"/>
      <c r="F297" s="121"/>
    </row>
    <row r="298">
      <c r="B298" s="121"/>
      <c r="F298" s="121"/>
    </row>
    <row r="299">
      <c r="B299" s="121"/>
      <c r="F299" s="121"/>
    </row>
    <row r="300">
      <c r="B300" s="121"/>
      <c r="F300" s="121"/>
    </row>
    <row r="301">
      <c r="B301" s="121"/>
      <c r="F301" s="121"/>
    </row>
    <row r="302">
      <c r="B302" s="121"/>
      <c r="F302" s="121"/>
    </row>
    <row r="303">
      <c r="B303" s="121"/>
      <c r="F303" s="121"/>
    </row>
    <row r="304">
      <c r="B304" s="121"/>
      <c r="F304" s="121"/>
    </row>
    <row r="305">
      <c r="B305" s="121"/>
      <c r="F305" s="121"/>
    </row>
    <row r="306">
      <c r="B306" s="121"/>
      <c r="F306" s="121"/>
    </row>
    <row r="307">
      <c r="B307" s="121"/>
      <c r="F307" s="121"/>
    </row>
    <row r="308">
      <c r="B308" s="121"/>
      <c r="F308" s="121"/>
    </row>
    <row r="309">
      <c r="B309" s="121"/>
      <c r="F309" s="121"/>
    </row>
    <row r="310">
      <c r="B310" s="121"/>
      <c r="F310" s="121"/>
    </row>
    <row r="311">
      <c r="B311" s="121"/>
      <c r="F311" s="121"/>
    </row>
    <row r="312">
      <c r="B312" s="121"/>
      <c r="F312" s="121"/>
    </row>
    <row r="313">
      <c r="B313" s="121"/>
      <c r="F313" s="121"/>
    </row>
    <row r="314">
      <c r="B314" s="121"/>
      <c r="F314" s="121"/>
    </row>
    <row r="315">
      <c r="B315" s="121"/>
      <c r="F315" s="121"/>
    </row>
    <row r="316">
      <c r="B316" s="121"/>
      <c r="F316" s="121"/>
    </row>
    <row r="317">
      <c r="B317" s="121"/>
      <c r="F317" s="121"/>
    </row>
    <row r="318">
      <c r="B318" s="121"/>
      <c r="F318" s="121"/>
    </row>
    <row r="319">
      <c r="B319" s="121"/>
      <c r="F319" s="121"/>
    </row>
    <row r="320">
      <c r="B320" s="121"/>
      <c r="F320" s="121"/>
    </row>
    <row r="321">
      <c r="B321" s="121"/>
      <c r="F321" s="121"/>
    </row>
    <row r="322">
      <c r="B322" s="121"/>
      <c r="F322" s="121"/>
    </row>
    <row r="323">
      <c r="B323" s="121"/>
      <c r="F323" s="121"/>
    </row>
    <row r="324">
      <c r="B324" s="121"/>
      <c r="F324" s="121"/>
    </row>
    <row r="325">
      <c r="B325" s="121"/>
      <c r="F325" s="121"/>
    </row>
    <row r="326">
      <c r="B326" s="121"/>
      <c r="F326" s="121"/>
    </row>
    <row r="327">
      <c r="B327" s="121"/>
      <c r="F327" s="121"/>
    </row>
    <row r="328">
      <c r="B328" s="121"/>
      <c r="F328" s="121"/>
    </row>
    <row r="329">
      <c r="B329" s="121"/>
      <c r="F329" s="121"/>
    </row>
    <row r="330">
      <c r="B330" s="121"/>
      <c r="F330" s="121"/>
    </row>
    <row r="331">
      <c r="B331" s="121"/>
      <c r="F331" s="121"/>
    </row>
    <row r="332">
      <c r="B332" s="121"/>
      <c r="F332" s="121"/>
    </row>
    <row r="333">
      <c r="B333" s="121"/>
      <c r="F333" s="121"/>
    </row>
    <row r="334">
      <c r="B334" s="121"/>
      <c r="F334" s="121"/>
    </row>
    <row r="335">
      <c r="B335" s="121"/>
      <c r="F335" s="121"/>
    </row>
    <row r="336">
      <c r="B336" s="121"/>
      <c r="F336" s="121"/>
    </row>
    <row r="337">
      <c r="B337" s="121"/>
      <c r="F337" s="121"/>
    </row>
    <row r="338">
      <c r="B338" s="121"/>
      <c r="F338" s="121"/>
    </row>
    <row r="339">
      <c r="B339" s="121"/>
      <c r="F339" s="121"/>
    </row>
    <row r="340">
      <c r="B340" s="121"/>
      <c r="F340" s="121"/>
    </row>
    <row r="341">
      <c r="B341" s="121"/>
      <c r="F341" s="121"/>
    </row>
    <row r="342">
      <c r="B342" s="121"/>
      <c r="F342" s="121"/>
    </row>
    <row r="343">
      <c r="B343" s="121"/>
      <c r="F343" s="121"/>
    </row>
    <row r="344">
      <c r="B344" s="121"/>
      <c r="F344" s="121"/>
    </row>
    <row r="345">
      <c r="B345" s="121"/>
      <c r="F345" s="121"/>
    </row>
    <row r="346">
      <c r="B346" s="121"/>
      <c r="F346" s="121"/>
    </row>
    <row r="347">
      <c r="B347" s="121"/>
      <c r="F347" s="121"/>
    </row>
    <row r="348">
      <c r="B348" s="121"/>
      <c r="F348" s="121"/>
    </row>
    <row r="349">
      <c r="B349" s="121"/>
      <c r="F349" s="121"/>
    </row>
    <row r="350">
      <c r="B350" s="121"/>
      <c r="F350" s="121"/>
    </row>
    <row r="351">
      <c r="B351" s="121"/>
      <c r="F351" s="121"/>
    </row>
    <row r="352">
      <c r="B352" s="121"/>
      <c r="F352" s="121"/>
    </row>
    <row r="353">
      <c r="B353" s="121"/>
      <c r="F353" s="121"/>
    </row>
    <row r="354">
      <c r="B354" s="121"/>
      <c r="F354" s="121"/>
    </row>
    <row r="355">
      <c r="B355" s="121"/>
      <c r="F355" s="121"/>
    </row>
    <row r="356">
      <c r="B356" s="121"/>
      <c r="F356" s="121"/>
    </row>
    <row r="357">
      <c r="B357" s="121"/>
      <c r="F357" s="121"/>
    </row>
    <row r="358">
      <c r="B358" s="121"/>
      <c r="F358" s="121"/>
    </row>
    <row r="359">
      <c r="B359" s="121"/>
      <c r="F359" s="121"/>
    </row>
    <row r="360">
      <c r="B360" s="121"/>
      <c r="F360" s="121"/>
    </row>
    <row r="361">
      <c r="B361" s="121"/>
      <c r="F361" s="121"/>
    </row>
    <row r="362">
      <c r="B362" s="121"/>
      <c r="F362" s="121"/>
    </row>
    <row r="363">
      <c r="B363" s="121"/>
      <c r="F363" s="121"/>
    </row>
    <row r="364">
      <c r="B364" s="121"/>
      <c r="F364" s="121"/>
    </row>
    <row r="365">
      <c r="B365" s="121"/>
      <c r="F365" s="121"/>
    </row>
    <row r="366">
      <c r="B366" s="121"/>
      <c r="F366" s="121"/>
    </row>
    <row r="367">
      <c r="B367" s="121"/>
      <c r="F367" s="121"/>
    </row>
    <row r="368">
      <c r="B368" s="121"/>
      <c r="F368" s="121"/>
    </row>
    <row r="369">
      <c r="B369" s="121"/>
      <c r="F369" s="121"/>
    </row>
    <row r="370">
      <c r="B370" s="121"/>
      <c r="F370" s="121"/>
    </row>
    <row r="371">
      <c r="B371" s="121"/>
      <c r="F371" s="121"/>
    </row>
    <row r="372">
      <c r="B372" s="121"/>
      <c r="F372" s="121"/>
    </row>
    <row r="373">
      <c r="B373" s="121"/>
      <c r="F373" s="121"/>
    </row>
    <row r="374">
      <c r="B374" s="121"/>
      <c r="F374" s="121"/>
    </row>
    <row r="375">
      <c r="B375" s="121"/>
      <c r="F375" s="121"/>
    </row>
    <row r="376">
      <c r="B376" s="121"/>
      <c r="F376" s="121"/>
    </row>
    <row r="377">
      <c r="B377" s="121"/>
      <c r="F377" s="121"/>
    </row>
    <row r="378">
      <c r="B378" s="121"/>
      <c r="F378" s="121"/>
    </row>
    <row r="379">
      <c r="B379" s="121"/>
      <c r="F379" s="121"/>
    </row>
    <row r="380">
      <c r="B380" s="121"/>
      <c r="F380" s="121"/>
    </row>
    <row r="381">
      <c r="B381" s="121"/>
      <c r="F381" s="121"/>
    </row>
    <row r="382">
      <c r="B382" s="121"/>
      <c r="F382" s="121"/>
    </row>
    <row r="383">
      <c r="B383" s="121"/>
      <c r="F383" s="121"/>
    </row>
    <row r="384">
      <c r="B384" s="121"/>
      <c r="F384" s="121"/>
    </row>
    <row r="385">
      <c r="B385" s="121"/>
      <c r="F385" s="121"/>
    </row>
    <row r="386">
      <c r="B386" s="121"/>
      <c r="F386" s="121"/>
    </row>
    <row r="387">
      <c r="B387" s="121"/>
      <c r="F387" s="121"/>
    </row>
    <row r="388">
      <c r="B388" s="121"/>
      <c r="F388" s="121"/>
    </row>
    <row r="389">
      <c r="B389" s="121"/>
      <c r="F389" s="121"/>
    </row>
    <row r="390">
      <c r="B390" s="121"/>
      <c r="F390" s="121"/>
    </row>
    <row r="391">
      <c r="B391" s="121"/>
      <c r="F391" s="121"/>
    </row>
    <row r="392">
      <c r="B392" s="121"/>
      <c r="F392" s="121"/>
    </row>
    <row r="393">
      <c r="B393" s="121"/>
      <c r="F393" s="121"/>
    </row>
    <row r="394">
      <c r="B394" s="121"/>
      <c r="F394" s="121"/>
    </row>
    <row r="395">
      <c r="B395" s="121"/>
      <c r="F395" s="121"/>
    </row>
    <row r="396">
      <c r="B396" s="121"/>
      <c r="F396" s="121"/>
    </row>
    <row r="397">
      <c r="B397" s="121"/>
      <c r="F397" s="121"/>
    </row>
    <row r="398">
      <c r="B398" s="121"/>
      <c r="F398" s="121"/>
    </row>
    <row r="399">
      <c r="B399" s="121"/>
      <c r="F399" s="121"/>
    </row>
    <row r="400">
      <c r="B400" s="121"/>
      <c r="F400" s="121"/>
    </row>
    <row r="401">
      <c r="B401" s="121"/>
      <c r="F401" s="121"/>
    </row>
    <row r="402">
      <c r="B402" s="121"/>
      <c r="F402" s="121"/>
    </row>
    <row r="403">
      <c r="B403" s="121"/>
      <c r="F403" s="121"/>
    </row>
    <row r="404">
      <c r="B404" s="121"/>
      <c r="F404" s="121"/>
    </row>
    <row r="405">
      <c r="B405" s="121"/>
      <c r="F405" s="121"/>
    </row>
    <row r="406">
      <c r="B406" s="121"/>
      <c r="F406" s="121"/>
    </row>
    <row r="407">
      <c r="B407" s="121"/>
      <c r="F407" s="121"/>
    </row>
    <row r="408">
      <c r="B408" s="121"/>
      <c r="F408" s="121"/>
    </row>
    <row r="409">
      <c r="B409" s="121"/>
      <c r="F409" s="121"/>
    </row>
    <row r="410">
      <c r="B410" s="121"/>
      <c r="F410" s="121"/>
    </row>
    <row r="411">
      <c r="B411" s="121"/>
      <c r="F411" s="121"/>
    </row>
    <row r="412">
      <c r="B412" s="121"/>
      <c r="F412" s="121"/>
    </row>
    <row r="413">
      <c r="B413" s="121"/>
      <c r="F413" s="121"/>
    </row>
    <row r="414">
      <c r="B414" s="121"/>
      <c r="F414" s="121"/>
    </row>
    <row r="415">
      <c r="B415" s="121"/>
      <c r="F415" s="121"/>
    </row>
    <row r="416">
      <c r="B416" s="121"/>
      <c r="F416" s="121"/>
    </row>
    <row r="417">
      <c r="B417" s="121"/>
      <c r="F417" s="121"/>
    </row>
    <row r="418">
      <c r="B418" s="121"/>
      <c r="F418" s="121"/>
    </row>
    <row r="419">
      <c r="B419" s="121"/>
      <c r="F419" s="121"/>
    </row>
    <row r="420">
      <c r="B420" s="121"/>
      <c r="F420" s="121"/>
    </row>
    <row r="421">
      <c r="B421" s="121"/>
      <c r="F421" s="121"/>
    </row>
    <row r="422">
      <c r="B422" s="121"/>
      <c r="F422" s="121"/>
    </row>
    <row r="423">
      <c r="B423" s="121"/>
      <c r="F423" s="121"/>
    </row>
    <row r="424">
      <c r="B424" s="121"/>
      <c r="F424" s="121"/>
    </row>
    <row r="425">
      <c r="B425" s="121"/>
      <c r="F425" s="121"/>
    </row>
    <row r="426">
      <c r="B426" s="121"/>
      <c r="F426" s="121"/>
    </row>
    <row r="427">
      <c r="B427" s="121"/>
      <c r="F427" s="121"/>
    </row>
    <row r="428">
      <c r="B428" s="121"/>
      <c r="F428" s="121"/>
    </row>
    <row r="429">
      <c r="B429" s="121"/>
      <c r="F429" s="121"/>
    </row>
    <row r="430">
      <c r="B430" s="121"/>
      <c r="F430" s="121"/>
    </row>
    <row r="431">
      <c r="B431" s="121"/>
      <c r="F431" s="121"/>
    </row>
    <row r="432">
      <c r="B432" s="121"/>
      <c r="F432" s="121"/>
    </row>
    <row r="433">
      <c r="B433" s="121"/>
      <c r="F433" s="121"/>
    </row>
    <row r="434">
      <c r="B434" s="121"/>
      <c r="F434" s="121"/>
    </row>
    <row r="435">
      <c r="B435" s="121"/>
      <c r="F435" s="121"/>
    </row>
    <row r="436">
      <c r="B436" s="121"/>
      <c r="F436" s="121"/>
    </row>
    <row r="437">
      <c r="B437" s="121"/>
      <c r="F437" s="121"/>
    </row>
    <row r="438">
      <c r="B438" s="121"/>
      <c r="F438" s="121"/>
    </row>
    <row r="439">
      <c r="B439" s="121"/>
      <c r="F439" s="121"/>
    </row>
    <row r="440">
      <c r="B440" s="121"/>
      <c r="F440" s="121"/>
    </row>
    <row r="441">
      <c r="B441" s="121"/>
      <c r="F441" s="121"/>
    </row>
    <row r="442">
      <c r="B442" s="121"/>
      <c r="F442" s="121"/>
    </row>
    <row r="443">
      <c r="B443" s="121"/>
      <c r="F443" s="121"/>
    </row>
    <row r="444">
      <c r="B444" s="121"/>
      <c r="F444" s="121"/>
    </row>
    <row r="445">
      <c r="B445" s="121"/>
      <c r="F445" s="121"/>
    </row>
    <row r="446">
      <c r="B446" s="121"/>
      <c r="F446" s="121"/>
    </row>
    <row r="447">
      <c r="B447" s="121"/>
      <c r="F447" s="121"/>
    </row>
    <row r="448">
      <c r="B448" s="121"/>
      <c r="F448" s="121"/>
    </row>
    <row r="449">
      <c r="B449" s="121"/>
      <c r="F449" s="121"/>
    </row>
    <row r="450">
      <c r="B450" s="121"/>
      <c r="F450" s="121"/>
    </row>
    <row r="451">
      <c r="B451" s="121"/>
      <c r="F451" s="121"/>
    </row>
    <row r="452">
      <c r="B452" s="121"/>
      <c r="F452" s="121"/>
    </row>
    <row r="453">
      <c r="B453" s="121"/>
      <c r="F453" s="121"/>
    </row>
    <row r="454">
      <c r="B454" s="121"/>
      <c r="F454" s="121"/>
    </row>
    <row r="455">
      <c r="B455" s="121"/>
      <c r="F455" s="121"/>
    </row>
    <row r="456">
      <c r="B456" s="121"/>
      <c r="F456" s="121"/>
    </row>
    <row r="457">
      <c r="B457" s="121"/>
      <c r="F457" s="121"/>
    </row>
    <row r="458">
      <c r="B458" s="121"/>
      <c r="F458" s="121"/>
    </row>
    <row r="459">
      <c r="B459" s="121"/>
      <c r="F459" s="121"/>
    </row>
    <row r="460">
      <c r="B460" s="121"/>
      <c r="F460" s="121"/>
    </row>
    <row r="461">
      <c r="B461" s="121"/>
      <c r="F461" s="121"/>
    </row>
    <row r="462">
      <c r="B462" s="121"/>
      <c r="F462" s="121"/>
    </row>
    <row r="463">
      <c r="B463" s="121"/>
      <c r="F463" s="121"/>
    </row>
    <row r="464">
      <c r="B464" s="121"/>
      <c r="F464" s="121"/>
    </row>
    <row r="465">
      <c r="B465" s="121"/>
      <c r="F465" s="121"/>
    </row>
    <row r="466">
      <c r="B466" s="121"/>
      <c r="F466" s="121"/>
    </row>
    <row r="467">
      <c r="B467" s="121"/>
      <c r="F467" s="121"/>
    </row>
    <row r="468">
      <c r="B468" s="121"/>
      <c r="F468" s="121"/>
    </row>
    <row r="469">
      <c r="B469" s="121"/>
      <c r="F469" s="121"/>
    </row>
    <row r="470">
      <c r="B470" s="121"/>
      <c r="F470" s="121"/>
    </row>
    <row r="471">
      <c r="B471" s="121"/>
      <c r="F471" s="121"/>
    </row>
    <row r="472">
      <c r="B472" s="121"/>
      <c r="F472" s="121"/>
    </row>
    <row r="473">
      <c r="B473" s="121"/>
      <c r="F473" s="121"/>
    </row>
    <row r="474">
      <c r="B474" s="121"/>
      <c r="F474" s="121"/>
    </row>
    <row r="475">
      <c r="B475" s="121"/>
      <c r="F475" s="121"/>
    </row>
    <row r="476">
      <c r="B476" s="121"/>
      <c r="F476" s="121"/>
    </row>
    <row r="477">
      <c r="B477" s="121"/>
      <c r="F477" s="121"/>
    </row>
    <row r="478">
      <c r="B478" s="121"/>
      <c r="F478" s="121"/>
    </row>
    <row r="479">
      <c r="B479" s="121"/>
      <c r="F479" s="121"/>
    </row>
    <row r="480">
      <c r="B480" s="121"/>
      <c r="F480" s="121"/>
    </row>
    <row r="481">
      <c r="B481" s="121"/>
      <c r="F481" s="121"/>
    </row>
    <row r="482">
      <c r="B482" s="121"/>
      <c r="F482" s="121"/>
    </row>
    <row r="483">
      <c r="B483" s="121"/>
      <c r="F483" s="121"/>
    </row>
    <row r="484">
      <c r="B484" s="121"/>
      <c r="F484" s="121"/>
    </row>
    <row r="485">
      <c r="B485" s="121"/>
      <c r="F485" s="121"/>
    </row>
    <row r="486">
      <c r="B486" s="121"/>
      <c r="F486" s="121"/>
    </row>
    <row r="487">
      <c r="B487" s="121"/>
      <c r="F487" s="121"/>
    </row>
    <row r="488">
      <c r="B488" s="121"/>
      <c r="F488" s="121"/>
    </row>
    <row r="489">
      <c r="B489" s="121"/>
      <c r="F489" s="121"/>
    </row>
    <row r="490">
      <c r="B490" s="121"/>
      <c r="F490" s="121"/>
    </row>
    <row r="491">
      <c r="B491" s="121"/>
      <c r="F491" s="121"/>
    </row>
    <row r="492">
      <c r="B492" s="121"/>
      <c r="F492" s="121"/>
    </row>
    <row r="493">
      <c r="B493" s="121"/>
      <c r="F493" s="121"/>
    </row>
    <row r="494">
      <c r="B494" s="121"/>
      <c r="F494" s="121"/>
    </row>
    <row r="495">
      <c r="B495" s="121"/>
      <c r="F495" s="121"/>
    </row>
    <row r="496">
      <c r="B496" s="121"/>
      <c r="F496" s="121"/>
    </row>
    <row r="497">
      <c r="B497" s="121"/>
      <c r="F497" s="121"/>
    </row>
    <row r="498">
      <c r="B498" s="121"/>
      <c r="F498" s="121"/>
    </row>
    <row r="499">
      <c r="B499" s="121"/>
      <c r="F499" s="121"/>
    </row>
    <row r="500">
      <c r="B500" s="121"/>
      <c r="F500" s="121"/>
    </row>
    <row r="501">
      <c r="B501" s="121"/>
      <c r="F501" s="121"/>
    </row>
    <row r="502">
      <c r="B502" s="121"/>
      <c r="F502" s="121"/>
    </row>
    <row r="503">
      <c r="B503" s="121"/>
      <c r="F503" s="121"/>
    </row>
    <row r="504">
      <c r="B504" s="121"/>
      <c r="F504" s="121"/>
    </row>
    <row r="505">
      <c r="B505" s="121"/>
      <c r="F505" s="121"/>
    </row>
    <row r="506">
      <c r="B506" s="121"/>
      <c r="F506" s="121"/>
    </row>
    <row r="507">
      <c r="B507" s="121"/>
      <c r="F507" s="121"/>
    </row>
    <row r="508">
      <c r="B508" s="121"/>
      <c r="F508" s="121"/>
    </row>
    <row r="509">
      <c r="B509" s="121"/>
      <c r="F509" s="121"/>
    </row>
    <row r="510">
      <c r="B510" s="121"/>
      <c r="F510" s="121"/>
    </row>
    <row r="511">
      <c r="B511" s="121"/>
      <c r="F511" s="121"/>
    </row>
    <row r="512">
      <c r="B512" s="121"/>
      <c r="F512" s="121"/>
    </row>
    <row r="513">
      <c r="B513" s="121"/>
      <c r="F513" s="121"/>
    </row>
    <row r="514">
      <c r="B514" s="121"/>
      <c r="F514" s="121"/>
    </row>
    <row r="515">
      <c r="B515" s="121"/>
      <c r="F515" s="121"/>
    </row>
    <row r="516">
      <c r="B516" s="121"/>
      <c r="F516" s="121"/>
    </row>
    <row r="517">
      <c r="B517" s="121"/>
      <c r="F517" s="121"/>
    </row>
    <row r="518">
      <c r="B518" s="121"/>
      <c r="F518" s="121"/>
    </row>
    <row r="519">
      <c r="B519" s="121"/>
      <c r="F519" s="121"/>
    </row>
    <row r="520">
      <c r="B520" s="121"/>
      <c r="F520" s="121"/>
    </row>
    <row r="521">
      <c r="B521" s="121"/>
      <c r="F521" s="121"/>
    </row>
    <row r="522">
      <c r="B522" s="121"/>
      <c r="F522" s="121"/>
    </row>
    <row r="523">
      <c r="B523" s="121"/>
      <c r="F523" s="121"/>
    </row>
    <row r="524">
      <c r="B524" s="121"/>
      <c r="F524" s="121"/>
    </row>
    <row r="525">
      <c r="B525" s="121"/>
      <c r="F525" s="121"/>
    </row>
    <row r="526">
      <c r="B526" s="121"/>
      <c r="F526" s="121"/>
    </row>
    <row r="527">
      <c r="B527" s="121"/>
      <c r="F527" s="121"/>
    </row>
    <row r="528">
      <c r="B528" s="121"/>
      <c r="F528" s="121"/>
    </row>
    <row r="529">
      <c r="B529" s="121"/>
      <c r="F529" s="121"/>
    </row>
    <row r="530">
      <c r="B530" s="121"/>
      <c r="F530" s="121"/>
    </row>
    <row r="531">
      <c r="B531" s="121"/>
      <c r="F531" s="121"/>
    </row>
    <row r="532">
      <c r="B532" s="121"/>
      <c r="F532" s="121"/>
    </row>
    <row r="533">
      <c r="B533" s="121"/>
      <c r="F533" s="121"/>
    </row>
    <row r="534">
      <c r="B534" s="121"/>
      <c r="F534" s="121"/>
    </row>
    <row r="535">
      <c r="B535" s="121"/>
      <c r="F535" s="121"/>
    </row>
    <row r="536">
      <c r="B536" s="121"/>
      <c r="F536" s="121"/>
    </row>
    <row r="537">
      <c r="B537" s="121"/>
      <c r="F537" s="121"/>
    </row>
    <row r="538">
      <c r="B538" s="121"/>
      <c r="F538" s="121"/>
    </row>
    <row r="539">
      <c r="B539" s="121"/>
      <c r="F539" s="121"/>
    </row>
    <row r="540">
      <c r="B540" s="121"/>
      <c r="F540" s="121"/>
    </row>
    <row r="541">
      <c r="B541" s="121"/>
      <c r="F541" s="121"/>
    </row>
    <row r="542">
      <c r="B542" s="121"/>
      <c r="F542" s="121"/>
    </row>
    <row r="543">
      <c r="B543" s="121"/>
      <c r="F543" s="121"/>
    </row>
    <row r="544">
      <c r="B544" s="121"/>
      <c r="F544" s="121"/>
    </row>
    <row r="545">
      <c r="B545" s="121"/>
      <c r="F545" s="121"/>
    </row>
    <row r="546">
      <c r="B546" s="121"/>
      <c r="F546" s="121"/>
    </row>
    <row r="547">
      <c r="B547" s="121"/>
      <c r="F547" s="121"/>
    </row>
    <row r="548">
      <c r="B548" s="121"/>
      <c r="F548" s="121"/>
    </row>
    <row r="549">
      <c r="B549" s="121"/>
      <c r="F549" s="121"/>
    </row>
    <row r="550">
      <c r="B550" s="121"/>
      <c r="F550" s="121"/>
    </row>
    <row r="551">
      <c r="B551" s="121"/>
      <c r="F551" s="121"/>
    </row>
    <row r="552">
      <c r="B552" s="121"/>
      <c r="F552" s="121"/>
    </row>
    <row r="553">
      <c r="B553" s="121"/>
      <c r="F553" s="121"/>
    </row>
    <row r="554">
      <c r="B554" s="121"/>
      <c r="F554" s="121"/>
    </row>
    <row r="555">
      <c r="B555" s="121"/>
      <c r="F555" s="121"/>
    </row>
    <row r="556">
      <c r="B556" s="121"/>
      <c r="F556" s="121"/>
    </row>
    <row r="557">
      <c r="B557" s="121"/>
      <c r="F557" s="121"/>
    </row>
    <row r="558">
      <c r="B558" s="121"/>
      <c r="F558" s="121"/>
    </row>
    <row r="559">
      <c r="B559" s="121"/>
      <c r="F559" s="121"/>
    </row>
    <row r="560">
      <c r="B560" s="121"/>
      <c r="F560" s="121"/>
    </row>
    <row r="561">
      <c r="B561" s="121"/>
      <c r="F561" s="121"/>
    </row>
    <row r="562">
      <c r="B562" s="121"/>
      <c r="F562" s="121"/>
    </row>
    <row r="563">
      <c r="B563" s="121"/>
      <c r="F563" s="121"/>
    </row>
    <row r="564">
      <c r="B564" s="121"/>
      <c r="F564" s="121"/>
    </row>
    <row r="565">
      <c r="B565" s="121"/>
      <c r="F565" s="121"/>
    </row>
    <row r="566">
      <c r="B566" s="121"/>
      <c r="F566" s="121"/>
    </row>
    <row r="567">
      <c r="B567" s="121"/>
      <c r="F567" s="121"/>
    </row>
    <row r="568">
      <c r="B568" s="121"/>
      <c r="F568" s="121"/>
    </row>
    <row r="569">
      <c r="B569" s="121"/>
      <c r="F569" s="121"/>
    </row>
    <row r="570">
      <c r="B570" s="121"/>
      <c r="F570" s="121"/>
    </row>
    <row r="571">
      <c r="B571" s="121"/>
      <c r="F571" s="121"/>
    </row>
    <row r="572">
      <c r="B572" s="121"/>
      <c r="F572" s="121"/>
    </row>
    <row r="573">
      <c r="B573" s="121"/>
      <c r="F573" s="121"/>
    </row>
    <row r="574">
      <c r="B574" s="121"/>
      <c r="F574" s="121"/>
    </row>
    <row r="575">
      <c r="B575" s="121"/>
      <c r="F575" s="121"/>
    </row>
    <row r="576">
      <c r="B576" s="121"/>
      <c r="F576" s="121"/>
    </row>
    <row r="577">
      <c r="B577" s="121"/>
      <c r="F577" s="121"/>
    </row>
    <row r="578">
      <c r="B578" s="121"/>
      <c r="F578" s="121"/>
    </row>
    <row r="579">
      <c r="B579" s="121"/>
      <c r="F579" s="121"/>
    </row>
    <row r="580">
      <c r="B580" s="121"/>
      <c r="F580" s="121"/>
    </row>
    <row r="581">
      <c r="B581" s="121"/>
      <c r="F581" s="121"/>
    </row>
    <row r="582">
      <c r="B582" s="121"/>
      <c r="F582" s="121"/>
    </row>
    <row r="583">
      <c r="B583" s="121"/>
      <c r="F583" s="121"/>
    </row>
    <row r="584">
      <c r="B584" s="121"/>
      <c r="F584" s="121"/>
    </row>
    <row r="585">
      <c r="B585" s="121"/>
      <c r="F585" s="121"/>
    </row>
    <row r="586">
      <c r="B586" s="121"/>
      <c r="F586" s="121"/>
    </row>
    <row r="587">
      <c r="B587" s="121"/>
      <c r="F587" s="121"/>
    </row>
    <row r="588">
      <c r="B588" s="121"/>
      <c r="F588" s="121"/>
    </row>
    <row r="589">
      <c r="B589" s="121"/>
      <c r="F589" s="121"/>
    </row>
    <row r="590">
      <c r="B590" s="121"/>
      <c r="F590" s="121"/>
    </row>
    <row r="591">
      <c r="B591" s="121"/>
      <c r="F591" s="121"/>
    </row>
    <row r="592">
      <c r="B592" s="121"/>
      <c r="F592" s="121"/>
    </row>
    <row r="593">
      <c r="B593" s="121"/>
      <c r="F593" s="121"/>
    </row>
    <row r="594">
      <c r="B594" s="121"/>
      <c r="F594" s="121"/>
    </row>
    <row r="595">
      <c r="B595" s="121"/>
      <c r="F595" s="121"/>
    </row>
    <row r="596">
      <c r="B596" s="121"/>
      <c r="F596" s="121"/>
    </row>
    <row r="597">
      <c r="B597" s="121"/>
      <c r="F597" s="121"/>
    </row>
    <row r="598">
      <c r="B598" s="121"/>
      <c r="F598" s="121"/>
    </row>
    <row r="599">
      <c r="B599" s="121"/>
      <c r="F599" s="121"/>
    </row>
    <row r="600">
      <c r="B600" s="121"/>
      <c r="F600" s="121"/>
    </row>
    <row r="601">
      <c r="B601" s="121"/>
      <c r="F601" s="121"/>
    </row>
    <row r="602">
      <c r="B602" s="121"/>
      <c r="F602" s="121"/>
    </row>
    <row r="603">
      <c r="B603" s="121"/>
      <c r="F603" s="121"/>
    </row>
    <row r="604">
      <c r="B604" s="121"/>
      <c r="F604" s="121"/>
    </row>
    <row r="605">
      <c r="B605" s="121"/>
      <c r="F605" s="121"/>
    </row>
    <row r="606">
      <c r="B606" s="121"/>
      <c r="F606" s="121"/>
    </row>
    <row r="607">
      <c r="B607" s="121"/>
      <c r="F607" s="121"/>
    </row>
    <row r="608">
      <c r="B608" s="121"/>
      <c r="F608" s="121"/>
    </row>
    <row r="609">
      <c r="B609" s="121"/>
      <c r="F609" s="121"/>
    </row>
    <row r="610">
      <c r="B610" s="121"/>
      <c r="F610" s="121"/>
    </row>
    <row r="611">
      <c r="B611" s="121"/>
      <c r="F611" s="121"/>
    </row>
    <row r="612">
      <c r="B612" s="121"/>
      <c r="F612" s="121"/>
    </row>
    <row r="613">
      <c r="B613" s="121"/>
      <c r="F613" s="121"/>
    </row>
    <row r="614">
      <c r="B614" s="121"/>
      <c r="F614" s="121"/>
    </row>
    <row r="615">
      <c r="B615" s="121"/>
      <c r="F615" s="121"/>
    </row>
    <row r="616">
      <c r="B616" s="121"/>
      <c r="F616" s="121"/>
    </row>
    <row r="617">
      <c r="B617" s="121"/>
      <c r="F617" s="121"/>
    </row>
    <row r="618">
      <c r="B618" s="121"/>
      <c r="F618" s="121"/>
    </row>
    <row r="619">
      <c r="B619" s="121"/>
      <c r="F619" s="121"/>
    </row>
    <row r="620">
      <c r="B620" s="121"/>
      <c r="F620" s="121"/>
    </row>
    <row r="621">
      <c r="B621" s="121"/>
      <c r="F621" s="121"/>
    </row>
    <row r="622">
      <c r="B622" s="121"/>
      <c r="F622" s="121"/>
    </row>
    <row r="623">
      <c r="B623" s="121"/>
      <c r="F623" s="121"/>
    </row>
    <row r="624">
      <c r="B624" s="121"/>
      <c r="F624" s="121"/>
    </row>
    <row r="625">
      <c r="B625" s="121"/>
      <c r="F625" s="121"/>
    </row>
    <row r="626">
      <c r="B626" s="121"/>
      <c r="F626" s="121"/>
    </row>
    <row r="627">
      <c r="B627" s="121"/>
      <c r="F627" s="121"/>
    </row>
    <row r="628">
      <c r="B628" s="121"/>
      <c r="F628" s="121"/>
    </row>
    <row r="629">
      <c r="B629" s="121"/>
      <c r="F629" s="121"/>
    </row>
    <row r="630">
      <c r="B630" s="121"/>
      <c r="F630" s="121"/>
    </row>
    <row r="631">
      <c r="B631" s="121"/>
      <c r="F631" s="121"/>
    </row>
    <row r="632">
      <c r="B632" s="121"/>
      <c r="F632" s="121"/>
    </row>
    <row r="633">
      <c r="B633" s="121"/>
      <c r="F633" s="121"/>
    </row>
    <row r="634">
      <c r="B634" s="121"/>
      <c r="F634" s="121"/>
    </row>
    <row r="635">
      <c r="B635" s="121"/>
      <c r="F635" s="121"/>
    </row>
    <row r="636">
      <c r="B636" s="121"/>
      <c r="F636" s="121"/>
    </row>
    <row r="637">
      <c r="B637" s="121"/>
      <c r="F637" s="121"/>
    </row>
    <row r="638">
      <c r="B638" s="121"/>
      <c r="F638" s="121"/>
    </row>
    <row r="639">
      <c r="B639" s="121"/>
      <c r="F639" s="121"/>
    </row>
    <row r="640">
      <c r="B640" s="121"/>
      <c r="F640" s="121"/>
    </row>
    <row r="641">
      <c r="B641" s="121"/>
      <c r="F641" s="121"/>
    </row>
    <row r="642">
      <c r="B642" s="121"/>
      <c r="F642" s="121"/>
    </row>
    <row r="643">
      <c r="B643" s="121"/>
      <c r="F643" s="121"/>
    </row>
    <row r="644">
      <c r="B644" s="121"/>
      <c r="F644" s="121"/>
    </row>
    <row r="645">
      <c r="B645" s="121"/>
      <c r="F645" s="121"/>
    </row>
    <row r="646">
      <c r="B646" s="121"/>
      <c r="F646" s="121"/>
    </row>
    <row r="647">
      <c r="B647" s="121"/>
      <c r="F647" s="121"/>
    </row>
    <row r="648">
      <c r="B648" s="121"/>
      <c r="F648" s="121"/>
    </row>
    <row r="649">
      <c r="B649" s="121"/>
      <c r="F649" s="121"/>
    </row>
    <row r="650">
      <c r="B650" s="121"/>
      <c r="F650" s="121"/>
    </row>
    <row r="651">
      <c r="B651" s="121"/>
      <c r="F651" s="121"/>
    </row>
    <row r="652">
      <c r="B652" s="121"/>
      <c r="F652" s="121"/>
    </row>
    <row r="653">
      <c r="B653" s="121"/>
      <c r="F653" s="121"/>
    </row>
    <row r="654">
      <c r="B654" s="121"/>
      <c r="F654" s="121"/>
    </row>
    <row r="655">
      <c r="B655" s="121"/>
      <c r="F655" s="121"/>
    </row>
    <row r="656">
      <c r="B656" s="121"/>
      <c r="F656" s="121"/>
    </row>
    <row r="657">
      <c r="B657" s="121"/>
      <c r="F657" s="121"/>
    </row>
    <row r="658">
      <c r="B658" s="121"/>
      <c r="F658" s="121"/>
    </row>
    <row r="659">
      <c r="B659" s="121"/>
      <c r="F659" s="121"/>
    </row>
    <row r="660">
      <c r="B660" s="121"/>
      <c r="F660" s="121"/>
    </row>
    <row r="661">
      <c r="B661" s="121"/>
      <c r="F661" s="121"/>
    </row>
    <row r="662">
      <c r="B662" s="121"/>
      <c r="F662" s="121"/>
    </row>
    <row r="663">
      <c r="B663" s="121"/>
      <c r="F663" s="121"/>
    </row>
    <row r="664">
      <c r="B664" s="121"/>
      <c r="F664" s="121"/>
    </row>
    <row r="665">
      <c r="B665" s="121"/>
      <c r="F665" s="121"/>
    </row>
    <row r="666">
      <c r="B666" s="121"/>
      <c r="F666" s="121"/>
    </row>
    <row r="667">
      <c r="B667" s="121"/>
      <c r="F667" s="121"/>
    </row>
    <row r="668">
      <c r="B668" s="121"/>
      <c r="F668" s="121"/>
    </row>
    <row r="669">
      <c r="B669" s="121"/>
      <c r="F669" s="121"/>
    </row>
    <row r="670">
      <c r="B670" s="121"/>
      <c r="F670" s="121"/>
    </row>
    <row r="671">
      <c r="B671" s="121"/>
      <c r="F671" s="121"/>
    </row>
    <row r="672">
      <c r="B672" s="121"/>
      <c r="F672" s="121"/>
    </row>
    <row r="673">
      <c r="B673" s="121"/>
      <c r="F673" s="121"/>
    </row>
    <row r="674">
      <c r="B674" s="121"/>
      <c r="F674" s="121"/>
    </row>
    <row r="675">
      <c r="B675" s="121"/>
      <c r="F675" s="121"/>
    </row>
    <row r="676">
      <c r="B676" s="121"/>
      <c r="F676" s="121"/>
    </row>
    <row r="677">
      <c r="B677" s="121"/>
      <c r="F677" s="121"/>
    </row>
    <row r="678">
      <c r="B678" s="121"/>
      <c r="F678" s="121"/>
    </row>
    <row r="679">
      <c r="B679" s="121"/>
      <c r="F679" s="121"/>
    </row>
    <row r="680">
      <c r="B680" s="121"/>
      <c r="F680" s="121"/>
    </row>
    <row r="681">
      <c r="B681" s="121"/>
      <c r="F681" s="121"/>
    </row>
    <row r="682">
      <c r="B682" s="121"/>
      <c r="F682" s="121"/>
    </row>
    <row r="683">
      <c r="B683" s="121"/>
      <c r="F683" s="121"/>
    </row>
    <row r="684">
      <c r="B684" s="121"/>
      <c r="F684" s="121"/>
    </row>
    <row r="685">
      <c r="B685" s="121"/>
      <c r="F685" s="121"/>
    </row>
    <row r="686">
      <c r="B686" s="121"/>
      <c r="F686" s="121"/>
    </row>
    <row r="687">
      <c r="B687" s="121"/>
      <c r="F687" s="121"/>
    </row>
    <row r="688">
      <c r="B688" s="121"/>
      <c r="F688" s="121"/>
    </row>
    <row r="689">
      <c r="B689" s="121"/>
      <c r="F689" s="121"/>
    </row>
    <row r="690">
      <c r="B690" s="121"/>
      <c r="F690" s="121"/>
    </row>
    <row r="691">
      <c r="B691" s="121"/>
      <c r="F691" s="121"/>
    </row>
    <row r="692">
      <c r="B692" s="121"/>
      <c r="F692" s="121"/>
    </row>
    <row r="693">
      <c r="B693" s="121"/>
      <c r="F693" s="121"/>
    </row>
    <row r="694">
      <c r="B694" s="121"/>
      <c r="F694" s="121"/>
    </row>
    <row r="695">
      <c r="B695" s="121"/>
      <c r="F695" s="121"/>
    </row>
    <row r="696">
      <c r="B696" s="121"/>
      <c r="F696" s="121"/>
    </row>
    <row r="697">
      <c r="B697" s="121"/>
      <c r="F697" s="121"/>
    </row>
    <row r="698">
      <c r="B698" s="121"/>
      <c r="F698" s="121"/>
    </row>
    <row r="699">
      <c r="B699" s="121"/>
      <c r="F699" s="121"/>
    </row>
    <row r="700">
      <c r="B700" s="121"/>
      <c r="F700" s="121"/>
    </row>
    <row r="701">
      <c r="B701" s="121"/>
      <c r="F701" s="121"/>
    </row>
    <row r="702">
      <c r="B702" s="121"/>
      <c r="F702" s="121"/>
    </row>
    <row r="703">
      <c r="B703" s="121"/>
      <c r="F703" s="121"/>
    </row>
    <row r="704">
      <c r="B704" s="121"/>
      <c r="F704" s="121"/>
    </row>
    <row r="705">
      <c r="B705" s="121"/>
      <c r="F705" s="121"/>
    </row>
    <row r="706">
      <c r="B706" s="121"/>
      <c r="F706" s="121"/>
    </row>
    <row r="707">
      <c r="B707" s="121"/>
      <c r="F707" s="121"/>
    </row>
    <row r="708">
      <c r="B708" s="121"/>
      <c r="F708" s="121"/>
    </row>
    <row r="709">
      <c r="B709" s="121"/>
      <c r="F709" s="121"/>
    </row>
    <row r="710">
      <c r="B710" s="121"/>
      <c r="F710" s="121"/>
    </row>
    <row r="711">
      <c r="B711" s="121"/>
      <c r="F711" s="121"/>
    </row>
    <row r="712">
      <c r="B712" s="121"/>
      <c r="F712" s="121"/>
    </row>
    <row r="713">
      <c r="B713" s="121"/>
      <c r="F713" s="121"/>
    </row>
    <row r="714">
      <c r="B714" s="121"/>
      <c r="F714" s="121"/>
    </row>
    <row r="715">
      <c r="B715" s="121"/>
      <c r="F715" s="121"/>
    </row>
    <row r="716">
      <c r="B716" s="121"/>
      <c r="F716" s="121"/>
    </row>
    <row r="717">
      <c r="B717" s="121"/>
      <c r="F717" s="121"/>
    </row>
    <row r="718">
      <c r="B718" s="121"/>
      <c r="F718" s="121"/>
    </row>
    <row r="719">
      <c r="B719" s="121"/>
      <c r="F719" s="121"/>
    </row>
    <row r="720">
      <c r="B720" s="121"/>
      <c r="F720" s="121"/>
    </row>
    <row r="721">
      <c r="B721" s="121"/>
      <c r="F721" s="121"/>
    </row>
    <row r="722">
      <c r="B722" s="121"/>
      <c r="F722" s="121"/>
    </row>
    <row r="723">
      <c r="B723" s="121"/>
      <c r="F723" s="121"/>
    </row>
    <row r="724">
      <c r="B724" s="121"/>
      <c r="F724" s="121"/>
    </row>
    <row r="725">
      <c r="B725" s="121"/>
      <c r="F725" s="121"/>
    </row>
    <row r="726">
      <c r="B726" s="121"/>
      <c r="F726" s="121"/>
    </row>
    <row r="727">
      <c r="B727" s="121"/>
      <c r="F727" s="121"/>
    </row>
    <row r="728">
      <c r="B728" s="121"/>
      <c r="F728" s="121"/>
    </row>
    <row r="729">
      <c r="B729" s="121"/>
      <c r="F729" s="121"/>
    </row>
    <row r="730">
      <c r="B730" s="121"/>
      <c r="F730" s="121"/>
    </row>
    <row r="731">
      <c r="B731" s="121"/>
      <c r="F731" s="121"/>
    </row>
    <row r="732">
      <c r="B732" s="121"/>
      <c r="F732" s="121"/>
    </row>
    <row r="733">
      <c r="B733" s="121"/>
      <c r="F733" s="121"/>
    </row>
    <row r="734">
      <c r="B734" s="121"/>
      <c r="F734" s="121"/>
    </row>
    <row r="735">
      <c r="B735" s="121"/>
      <c r="F735" s="121"/>
    </row>
    <row r="736">
      <c r="B736" s="121"/>
      <c r="F736" s="121"/>
    </row>
    <row r="737">
      <c r="B737" s="121"/>
      <c r="F737" s="121"/>
    </row>
    <row r="738">
      <c r="B738" s="121"/>
      <c r="F738" s="121"/>
    </row>
    <row r="739">
      <c r="B739" s="121"/>
      <c r="F739" s="121"/>
    </row>
    <row r="740">
      <c r="B740" s="121"/>
      <c r="F740" s="121"/>
    </row>
    <row r="741">
      <c r="B741" s="121"/>
      <c r="F741" s="121"/>
    </row>
    <row r="742">
      <c r="B742" s="121"/>
      <c r="F742" s="121"/>
    </row>
    <row r="743">
      <c r="B743" s="121"/>
      <c r="F743" s="121"/>
    </row>
    <row r="744">
      <c r="B744" s="121"/>
      <c r="F744" s="121"/>
    </row>
    <row r="745">
      <c r="B745" s="121"/>
      <c r="F745" s="121"/>
    </row>
    <row r="746">
      <c r="B746" s="121"/>
      <c r="F746" s="121"/>
    </row>
    <row r="747">
      <c r="B747" s="121"/>
      <c r="F747" s="121"/>
    </row>
    <row r="748">
      <c r="B748" s="121"/>
      <c r="F748" s="121"/>
    </row>
    <row r="749">
      <c r="B749" s="121"/>
      <c r="F749" s="121"/>
    </row>
    <row r="750">
      <c r="B750" s="121"/>
      <c r="F750" s="121"/>
    </row>
    <row r="751">
      <c r="B751" s="121"/>
      <c r="F751" s="121"/>
    </row>
    <row r="752">
      <c r="B752" s="121"/>
      <c r="F752" s="121"/>
    </row>
    <row r="753">
      <c r="B753" s="121"/>
      <c r="F753" s="121"/>
    </row>
    <row r="754">
      <c r="B754" s="121"/>
      <c r="F754" s="121"/>
    </row>
    <row r="755">
      <c r="B755" s="121"/>
      <c r="F755" s="121"/>
    </row>
    <row r="756">
      <c r="B756" s="121"/>
      <c r="F756" s="121"/>
    </row>
    <row r="757">
      <c r="B757" s="121"/>
      <c r="F757" s="121"/>
    </row>
    <row r="758">
      <c r="B758" s="121"/>
      <c r="F758" s="121"/>
    </row>
    <row r="759">
      <c r="B759" s="121"/>
      <c r="F759" s="121"/>
    </row>
    <row r="760">
      <c r="B760" s="121"/>
      <c r="F760" s="121"/>
    </row>
    <row r="761">
      <c r="B761" s="121"/>
      <c r="F761" s="121"/>
    </row>
    <row r="762">
      <c r="B762" s="121"/>
      <c r="F762" s="121"/>
    </row>
    <row r="763">
      <c r="B763" s="121"/>
      <c r="F763" s="121"/>
    </row>
    <row r="764">
      <c r="B764" s="121"/>
      <c r="F764" s="121"/>
    </row>
    <row r="765">
      <c r="B765" s="121"/>
      <c r="F765" s="121"/>
    </row>
    <row r="766">
      <c r="B766" s="121"/>
      <c r="F766" s="121"/>
    </row>
    <row r="767">
      <c r="B767" s="121"/>
      <c r="F767" s="121"/>
    </row>
    <row r="768">
      <c r="B768" s="121"/>
      <c r="F768" s="121"/>
    </row>
    <row r="769">
      <c r="B769" s="121"/>
      <c r="F769" s="121"/>
    </row>
    <row r="770">
      <c r="B770" s="121"/>
      <c r="F770" s="121"/>
    </row>
    <row r="771">
      <c r="B771" s="121"/>
      <c r="F771" s="121"/>
    </row>
    <row r="772">
      <c r="B772" s="121"/>
      <c r="F772" s="121"/>
    </row>
    <row r="773">
      <c r="B773" s="121"/>
      <c r="F773" s="121"/>
    </row>
    <row r="774">
      <c r="B774" s="121"/>
      <c r="F774" s="121"/>
    </row>
    <row r="775">
      <c r="B775" s="121"/>
      <c r="F775" s="121"/>
    </row>
    <row r="776">
      <c r="B776" s="121"/>
      <c r="F776" s="121"/>
    </row>
    <row r="777">
      <c r="B777" s="121"/>
      <c r="F777" s="121"/>
    </row>
    <row r="778">
      <c r="B778" s="121"/>
      <c r="F778" s="121"/>
    </row>
    <row r="779">
      <c r="B779" s="121"/>
      <c r="F779" s="121"/>
    </row>
    <row r="780">
      <c r="B780" s="121"/>
      <c r="F780" s="121"/>
    </row>
    <row r="781">
      <c r="B781" s="121"/>
      <c r="F781" s="121"/>
    </row>
    <row r="782">
      <c r="B782" s="121"/>
      <c r="F782" s="121"/>
    </row>
    <row r="783">
      <c r="B783" s="121"/>
      <c r="F783" s="121"/>
    </row>
    <row r="784">
      <c r="B784" s="121"/>
      <c r="F784" s="121"/>
    </row>
    <row r="785">
      <c r="B785" s="121"/>
      <c r="F785" s="121"/>
    </row>
    <row r="786">
      <c r="B786" s="121"/>
      <c r="F786" s="121"/>
    </row>
    <row r="787">
      <c r="B787" s="121"/>
      <c r="F787" s="121"/>
    </row>
    <row r="788">
      <c r="B788" s="121"/>
      <c r="F788" s="121"/>
    </row>
    <row r="789">
      <c r="B789" s="121"/>
      <c r="F789" s="121"/>
    </row>
    <row r="790">
      <c r="B790" s="121"/>
      <c r="F790" s="121"/>
    </row>
    <row r="791">
      <c r="B791" s="121"/>
      <c r="F791" s="121"/>
    </row>
    <row r="792">
      <c r="B792" s="121"/>
      <c r="F792" s="121"/>
    </row>
    <row r="793">
      <c r="B793" s="121"/>
      <c r="F793" s="121"/>
    </row>
    <row r="794">
      <c r="B794" s="121"/>
      <c r="F794" s="121"/>
    </row>
    <row r="795">
      <c r="B795" s="121"/>
      <c r="F795" s="121"/>
    </row>
    <row r="796">
      <c r="B796" s="121"/>
      <c r="F796" s="121"/>
    </row>
    <row r="797">
      <c r="B797" s="121"/>
      <c r="F797" s="121"/>
    </row>
    <row r="798">
      <c r="B798" s="121"/>
      <c r="F798" s="121"/>
    </row>
    <row r="799">
      <c r="B799" s="121"/>
      <c r="F799" s="121"/>
    </row>
    <row r="800">
      <c r="B800" s="121"/>
      <c r="F800" s="121"/>
    </row>
    <row r="801">
      <c r="B801" s="121"/>
      <c r="F801" s="121"/>
    </row>
    <row r="802">
      <c r="B802" s="121"/>
      <c r="F802" s="121"/>
    </row>
    <row r="803">
      <c r="B803" s="121"/>
      <c r="F803" s="121"/>
    </row>
    <row r="804">
      <c r="B804" s="121"/>
      <c r="F804" s="121"/>
    </row>
    <row r="805">
      <c r="B805" s="121"/>
      <c r="F805" s="121"/>
    </row>
    <row r="806">
      <c r="B806" s="121"/>
      <c r="F806" s="121"/>
    </row>
    <row r="807">
      <c r="B807" s="121"/>
      <c r="F807" s="121"/>
    </row>
    <row r="808">
      <c r="B808" s="121"/>
      <c r="F808" s="121"/>
    </row>
    <row r="809">
      <c r="B809" s="121"/>
      <c r="F809" s="121"/>
    </row>
    <row r="810">
      <c r="B810" s="121"/>
      <c r="F810" s="121"/>
    </row>
    <row r="811">
      <c r="B811" s="121"/>
      <c r="F811" s="121"/>
    </row>
    <row r="812">
      <c r="B812" s="121"/>
      <c r="F812" s="121"/>
    </row>
    <row r="813">
      <c r="B813" s="121"/>
      <c r="F813" s="121"/>
    </row>
    <row r="814">
      <c r="B814" s="121"/>
      <c r="F814" s="121"/>
    </row>
    <row r="815">
      <c r="B815" s="121"/>
      <c r="F815" s="121"/>
    </row>
    <row r="816">
      <c r="B816" s="121"/>
      <c r="F816" s="121"/>
    </row>
    <row r="817">
      <c r="B817" s="121"/>
      <c r="F817" s="121"/>
    </row>
    <row r="818">
      <c r="B818" s="121"/>
      <c r="F818" s="121"/>
    </row>
    <row r="819">
      <c r="B819" s="121"/>
      <c r="F819" s="121"/>
    </row>
    <row r="820">
      <c r="B820" s="121"/>
      <c r="F820" s="121"/>
    </row>
    <row r="821">
      <c r="B821" s="121"/>
      <c r="F821" s="121"/>
    </row>
    <row r="822">
      <c r="B822" s="121"/>
      <c r="F822" s="121"/>
    </row>
    <row r="823">
      <c r="B823" s="121"/>
      <c r="F823" s="121"/>
    </row>
    <row r="824">
      <c r="B824" s="121"/>
      <c r="F824" s="121"/>
    </row>
    <row r="825">
      <c r="B825" s="121"/>
      <c r="F825" s="121"/>
    </row>
    <row r="826">
      <c r="B826" s="121"/>
      <c r="F826" s="121"/>
    </row>
    <row r="827">
      <c r="B827" s="121"/>
      <c r="F827" s="121"/>
    </row>
    <row r="828">
      <c r="B828" s="121"/>
      <c r="F828" s="121"/>
    </row>
    <row r="829">
      <c r="B829" s="121"/>
      <c r="F829" s="121"/>
    </row>
    <row r="830">
      <c r="B830" s="121"/>
      <c r="F830" s="121"/>
    </row>
    <row r="831">
      <c r="B831" s="121"/>
      <c r="F831" s="121"/>
    </row>
    <row r="832">
      <c r="B832" s="121"/>
      <c r="F832" s="121"/>
    </row>
    <row r="833">
      <c r="B833" s="121"/>
      <c r="F833" s="121"/>
    </row>
    <row r="834">
      <c r="B834" s="121"/>
      <c r="F834" s="121"/>
    </row>
    <row r="835">
      <c r="B835" s="121"/>
      <c r="F835" s="121"/>
    </row>
    <row r="836">
      <c r="B836" s="121"/>
      <c r="F836" s="121"/>
    </row>
    <row r="837">
      <c r="B837" s="121"/>
      <c r="F837" s="121"/>
    </row>
    <row r="838">
      <c r="B838" s="121"/>
      <c r="F838" s="121"/>
    </row>
    <row r="839">
      <c r="B839" s="121"/>
      <c r="F839" s="121"/>
    </row>
    <row r="840">
      <c r="B840" s="121"/>
      <c r="F840" s="121"/>
    </row>
    <row r="841">
      <c r="B841" s="121"/>
      <c r="F841" s="121"/>
    </row>
    <row r="842">
      <c r="B842" s="121"/>
      <c r="F842" s="121"/>
    </row>
    <row r="843">
      <c r="B843" s="121"/>
      <c r="F843" s="121"/>
    </row>
    <row r="844">
      <c r="B844" s="121"/>
      <c r="F844" s="121"/>
    </row>
    <row r="845">
      <c r="B845" s="121"/>
      <c r="F845" s="121"/>
    </row>
    <row r="846">
      <c r="B846" s="121"/>
      <c r="F846" s="121"/>
    </row>
    <row r="847">
      <c r="B847" s="121"/>
      <c r="F847" s="121"/>
    </row>
    <row r="848">
      <c r="B848" s="121"/>
      <c r="F848" s="121"/>
    </row>
    <row r="849">
      <c r="B849" s="121"/>
      <c r="F849" s="121"/>
    </row>
    <row r="850">
      <c r="B850" s="121"/>
      <c r="F850" s="121"/>
    </row>
    <row r="851">
      <c r="B851" s="121"/>
      <c r="F851" s="121"/>
    </row>
    <row r="852">
      <c r="B852" s="121"/>
      <c r="F852" s="121"/>
    </row>
    <row r="853">
      <c r="B853" s="121"/>
      <c r="F853" s="121"/>
    </row>
    <row r="854">
      <c r="B854" s="121"/>
      <c r="F854" s="121"/>
    </row>
    <row r="855">
      <c r="B855" s="121"/>
      <c r="F855" s="121"/>
    </row>
    <row r="856">
      <c r="B856" s="121"/>
      <c r="F856" s="121"/>
    </row>
    <row r="857">
      <c r="B857" s="121"/>
      <c r="F857" s="121"/>
    </row>
    <row r="858">
      <c r="B858" s="121"/>
      <c r="F858" s="121"/>
    </row>
    <row r="859">
      <c r="B859" s="121"/>
      <c r="F859" s="121"/>
    </row>
    <row r="860">
      <c r="B860" s="121"/>
      <c r="F860" s="121"/>
    </row>
    <row r="861">
      <c r="B861" s="121"/>
      <c r="F861" s="121"/>
    </row>
    <row r="862">
      <c r="B862" s="121"/>
      <c r="F862" s="121"/>
    </row>
    <row r="863">
      <c r="B863" s="121"/>
      <c r="F863" s="121"/>
    </row>
    <row r="864">
      <c r="B864" s="121"/>
      <c r="F864" s="121"/>
    </row>
    <row r="865">
      <c r="B865" s="121"/>
      <c r="F865" s="121"/>
    </row>
    <row r="866">
      <c r="B866" s="121"/>
      <c r="F866" s="121"/>
    </row>
    <row r="867">
      <c r="B867" s="121"/>
      <c r="F867" s="121"/>
    </row>
    <row r="868">
      <c r="B868" s="121"/>
      <c r="F868" s="121"/>
    </row>
    <row r="869">
      <c r="B869" s="121"/>
      <c r="F869" s="121"/>
    </row>
    <row r="870">
      <c r="B870" s="121"/>
      <c r="F870" s="121"/>
    </row>
    <row r="871">
      <c r="B871" s="121"/>
      <c r="F871" s="121"/>
    </row>
    <row r="872">
      <c r="B872" s="121"/>
      <c r="F872" s="121"/>
    </row>
    <row r="873">
      <c r="B873" s="121"/>
      <c r="F873" s="121"/>
    </row>
    <row r="874">
      <c r="B874" s="121"/>
      <c r="F874" s="121"/>
    </row>
    <row r="875">
      <c r="B875" s="121"/>
      <c r="F875" s="121"/>
    </row>
    <row r="876">
      <c r="B876" s="121"/>
      <c r="F876" s="121"/>
    </row>
    <row r="877">
      <c r="B877" s="121"/>
      <c r="F877" s="121"/>
    </row>
    <row r="878">
      <c r="B878" s="121"/>
      <c r="F878" s="121"/>
    </row>
    <row r="879">
      <c r="B879" s="121"/>
      <c r="F879" s="121"/>
    </row>
    <row r="880">
      <c r="B880" s="121"/>
      <c r="F880" s="121"/>
    </row>
    <row r="881">
      <c r="B881" s="121"/>
      <c r="F881" s="121"/>
    </row>
    <row r="882">
      <c r="B882" s="121"/>
      <c r="F882" s="121"/>
    </row>
    <row r="883">
      <c r="B883" s="121"/>
      <c r="F883" s="121"/>
    </row>
    <row r="884">
      <c r="B884" s="121"/>
      <c r="F884" s="121"/>
    </row>
    <row r="885">
      <c r="B885" s="121"/>
      <c r="F885" s="121"/>
    </row>
    <row r="886">
      <c r="B886" s="121"/>
      <c r="F886" s="121"/>
    </row>
    <row r="887">
      <c r="B887" s="121"/>
      <c r="F887" s="121"/>
    </row>
    <row r="888">
      <c r="B888" s="121"/>
      <c r="F888" s="121"/>
    </row>
    <row r="889">
      <c r="B889" s="121"/>
      <c r="F889" s="121"/>
    </row>
    <row r="890">
      <c r="B890" s="121"/>
      <c r="F890" s="121"/>
    </row>
    <row r="891">
      <c r="B891" s="121"/>
      <c r="F891" s="121"/>
    </row>
    <row r="892">
      <c r="B892" s="121"/>
      <c r="F892" s="121"/>
    </row>
    <row r="893">
      <c r="B893" s="121"/>
      <c r="F893" s="121"/>
    </row>
    <row r="894">
      <c r="B894" s="121"/>
      <c r="F894" s="121"/>
    </row>
    <row r="895">
      <c r="B895" s="121"/>
      <c r="F895" s="121"/>
    </row>
    <row r="896">
      <c r="B896" s="121"/>
      <c r="F896" s="121"/>
    </row>
    <row r="897">
      <c r="B897" s="121"/>
      <c r="F897" s="121"/>
    </row>
    <row r="898">
      <c r="B898" s="121"/>
      <c r="F898" s="121"/>
    </row>
    <row r="899">
      <c r="B899" s="121"/>
      <c r="F899" s="121"/>
    </row>
    <row r="900">
      <c r="B900" s="121"/>
      <c r="F900" s="121"/>
    </row>
    <row r="901">
      <c r="B901" s="121"/>
      <c r="F901" s="121"/>
    </row>
    <row r="902">
      <c r="B902" s="121"/>
      <c r="F902" s="121"/>
    </row>
    <row r="903">
      <c r="B903" s="121"/>
      <c r="F903" s="121"/>
    </row>
    <row r="904">
      <c r="B904" s="121"/>
      <c r="F904" s="121"/>
    </row>
    <row r="905">
      <c r="B905" s="121"/>
      <c r="F905" s="121"/>
    </row>
    <row r="906">
      <c r="B906" s="121"/>
      <c r="F906" s="121"/>
    </row>
    <row r="907">
      <c r="B907" s="121"/>
      <c r="F907" s="121"/>
    </row>
    <row r="908">
      <c r="B908" s="121"/>
      <c r="F908" s="121"/>
    </row>
    <row r="909">
      <c r="B909" s="121"/>
      <c r="F909" s="121"/>
    </row>
    <row r="910">
      <c r="B910" s="121"/>
      <c r="F910" s="121"/>
    </row>
    <row r="911">
      <c r="B911" s="121"/>
      <c r="F911" s="121"/>
    </row>
    <row r="912">
      <c r="B912" s="121"/>
      <c r="F912" s="121"/>
    </row>
    <row r="913">
      <c r="B913" s="121"/>
      <c r="F913" s="121"/>
    </row>
    <row r="914">
      <c r="B914" s="121"/>
      <c r="F914" s="121"/>
    </row>
    <row r="915">
      <c r="B915" s="121"/>
      <c r="F915" s="121"/>
    </row>
    <row r="916">
      <c r="B916" s="121"/>
      <c r="F916" s="121"/>
    </row>
    <row r="917">
      <c r="B917" s="121"/>
      <c r="F917" s="121"/>
    </row>
    <row r="918">
      <c r="B918" s="121"/>
      <c r="F918" s="121"/>
    </row>
    <row r="919">
      <c r="B919" s="121"/>
      <c r="F919" s="121"/>
    </row>
    <row r="920">
      <c r="B920" s="121"/>
      <c r="F920" s="121"/>
    </row>
    <row r="921">
      <c r="B921" s="121"/>
      <c r="F921" s="121"/>
    </row>
    <row r="922">
      <c r="B922" s="121"/>
      <c r="F922" s="121"/>
    </row>
    <row r="923">
      <c r="B923" s="121"/>
      <c r="F923" s="121"/>
    </row>
    <row r="924">
      <c r="B924" s="121"/>
      <c r="F924" s="121"/>
    </row>
    <row r="925">
      <c r="B925" s="121"/>
      <c r="F925" s="121"/>
    </row>
    <row r="926">
      <c r="B926" s="121"/>
      <c r="F926" s="121"/>
    </row>
    <row r="927">
      <c r="B927" s="121"/>
      <c r="F927" s="121"/>
    </row>
    <row r="928">
      <c r="B928" s="121"/>
      <c r="F928" s="121"/>
    </row>
    <row r="929">
      <c r="B929" s="121"/>
      <c r="F929" s="121"/>
    </row>
    <row r="930">
      <c r="B930" s="121"/>
      <c r="F930" s="121"/>
    </row>
    <row r="931">
      <c r="B931" s="121"/>
      <c r="F931" s="121"/>
    </row>
    <row r="932">
      <c r="B932" s="121"/>
      <c r="F932" s="121"/>
    </row>
    <row r="933">
      <c r="B933" s="121"/>
      <c r="F933" s="121"/>
    </row>
    <row r="934">
      <c r="B934" s="121"/>
      <c r="F934" s="121"/>
    </row>
    <row r="935">
      <c r="B935" s="121"/>
      <c r="F935" s="121"/>
    </row>
    <row r="936">
      <c r="B936" s="121"/>
      <c r="F936" s="121"/>
    </row>
    <row r="937">
      <c r="B937" s="121"/>
      <c r="F937" s="121"/>
    </row>
    <row r="938">
      <c r="B938" s="121"/>
      <c r="F938" s="121"/>
    </row>
    <row r="939">
      <c r="B939" s="121"/>
      <c r="F939" s="121"/>
    </row>
    <row r="940">
      <c r="B940" s="121"/>
      <c r="F940" s="121"/>
    </row>
    <row r="941">
      <c r="B941" s="121"/>
      <c r="F941" s="121"/>
    </row>
    <row r="942">
      <c r="B942" s="121"/>
      <c r="F942" s="121"/>
    </row>
    <row r="943">
      <c r="B943" s="121"/>
      <c r="F943" s="121"/>
    </row>
    <row r="944">
      <c r="B944" s="121"/>
      <c r="F944" s="121"/>
    </row>
    <row r="945">
      <c r="B945" s="121"/>
      <c r="F945" s="121"/>
    </row>
    <row r="946">
      <c r="B946" s="121"/>
      <c r="F946" s="121"/>
    </row>
    <row r="947">
      <c r="B947" s="121"/>
      <c r="F947" s="121"/>
    </row>
    <row r="948">
      <c r="B948" s="121"/>
      <c r="F948" s="121"/>
    </row>
    <row r="949">
      <c r="B949" s="121"/>
      <c r="F949" s="121"/>
    </row>
    <row r="950">
      <c r="B950" s="121"/>
      <c r="F950" s="121"/>
    </row>
    <row r="951">
      <c r="B951" s="121"/>
      <c r="F951" s="121"/>
    </row>
    <row r="952">
      <c r="B952" s="121"/>
      <c r="F952" s="121"/>
    </row>
    <row r="953">
      <c r="B953" s="121"/>
      <c r="F953" s="121"/>
    </row>
    <row r="954">
      <c r="B954" s="121"/>
      <c r="F954" s="121"/>
    </row>
    <row r="955">
      <c r="B955" s="121"/>
      <c r="F955" s="121"/>
    </row>
    <row r="956">
      <c r="B956" s="121"/>
      <c r="F956" s="121"/>
    </row>
    <row r="957">
      <c r="B957" s="121"/>
      <c r="F957" s="121"/>
    </row>
    <row r="958">
      <c r="B958" s="121"/>
      <c r="F958" s="121"/>
    </row>
    <row r="959">
      <c r="B959" s="121"/>
      <c r="F959" s="121"/>
    </row>
    <row r="960">
      <c r="B960" s="121"/>
      <c r="F960" s="121"/>
    </row>
    <row r="961">
      <c r="B961" s="121"/>
      <c r="F961" s="121"/>
    </row>
    <row r="962">
      <c r="B962" s="121"/>
      <c r="F962" s="121"/>
    </row>
    <row r="963">
      <c r="B963" s="121"/>
      <c r="F963" s="121"/>
    </row>
    <row r="964">
      <c r="B964" s="121"/>
      <c r="F964" s="121"/>
    </row>
    <row r="965">
      <c r="B965" s="121"/>
      <c r="F965" s="121"/>
    </row>
    <row r="966">
      <c r="B966" s="121"/>
      <c r="F966" s="121"/>
    </row>
    <row r="967">
      <c r="B967" s="121"/>
      <c r="F967" s="121"/>
    </row>
    <row r="968">
      <c r="B968" s="121"/>
      <c r="F968" s="121"/>
    </row>
    <row r="969">
      <c r="B969" s="121"/>
      <c r="F969" s="121"/>
    </row>
    <row r="970">
      <c r="B970" s="121"/>
      <c r="F970" s="121"/>
    </row>
    <row r="971">
      <c r="B971" s="121"/>
      <c r="F971" s="121"/>
    </row>
    <row r="972">
      <c r="B972" s="121"/>
      <c r="F972" s="121"/>
    </row>
    <row r="973">
      <c r="B973" s="121"/>
      <c r="F973" s="121"/>
    </row>
    <row r="974">
      <c r="B974" s="121"/>
      <c r="F974" s="121"/>
    </row>
    <row r="975">
      <c r="B975" s="121"/>
      <c r="F975" s="121"/>
    </row>
    <row r="976">
      <c r="B976" s="121"/>
      <c r="F976" s="121"/>
    </row>
    <row r="977">
      <c r="B977" s="121"/>
      <c r="F977" s="121"/>
    </row>
    <row r="978">
      <c r="B978" s="121"/>
      <c r="F978" s="121"/>
    </row>
    <row r="979">
      <c r="B979" s="121"/>
      <c r="F979" s="121"/>
    </row>
    <row r="980">
      <c r="B980" s="121"/>
      <c r="F980" s="121"/>
    </row>
    <row r="981">
      <c r="B981" s="121"/>
      <c r="F981" s="121"/>
    </row>
    <row r="982">
      <c r="B982" s="121"/>
      <c r="F982" s="121"/>
    </row>
    <row r="983">
      <c r="B983" s="121"/>
      <c r="F983" s="121"/>
    </row>
    <row r="984">
      <c r="B984" s="121"/>
      <c r="F984" s="121"/>
    </row>
    <row r="985">
      <c r="B985" s="121"/>
      <c r="F985" s="121"/>
    </row>
    <row r="986">
      <c r="B986" s="121"/>
      <c r="F986" s="121"/>
    </row>
    <row r="987">
      <c r="B987" s="121"/>
      <c r="F987" s="121"/>
    </row>
    <row r="988">
      <c r="B988" s="121"/>
      <c r="F988" s="121"/>
    </row>
    <row r="989">
      <c r="B989" s="121"/>
      <c r="F989" s="121"/>
    </row>
    <row r="990">
      <c r="B990" s="121"/>
      <c r="F990" s="121"/>
    </row>
    <row r="991">
      <c r="B991" s="121"/>
      <c r="F991" s="121"/>
    </row>
    <row r="992">
      <c r="B992" s="121"/>
      <c r="F992" s="121"/>
    </row>
    <row r="993">
      <c r="B993" s="121"/>
      <c r="F993" s="121"/>
    </row>
    <row r="994">
      <c r="B994" s="121"/>
      <c r="F994" s="121"/>
    </row>
    <row r="995">
      <c r="B995" s="121"/>
      <c r="F995" s="121"/>
    </row>
    <row r="996">
      <c r="B996" s="121"/>
      <c r="F996" s="121"/>
    </row>
    <row r="997">
      <c r="B997" s="121"/>
      <c r="F997" s="121"/>
    </row>
    <row r="998">
      <c r="B998" s="121"/>
      <c r="F998" s="121"/>
    </row>
    <row r="999">
      <c r="B999" s="121"/>
      <c r="F999" s="121"/>
    </row>
    <row r="1000">
      <c r="B1000" s="121"/>
      <c r="F1000" s="121"/>
    </row>
  </sheetData>
  <mergeCells count="2">
    <mergeCell ref="O4:Q4"/>
    <mergeCell ref="A32:C32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3" max="3" width="17.5"/>
    <col customWidth="1" min="7" max="7" width="16.38"/>
    <col customWidth="1" min="8" max="8" width="13.75"/>
  </cols>
  <sheetData>
    <row r="1">
      <c r="A1" s="99" t="s">
        <v>36</v>
      </c>
      <c r="B1" s="100" t="s">
        <v>19</v>
      </c>
      <c r="C1" s="101" t="s">
        <v>1</v>
      </c>
      <c r="D1" s="101" t="s">
        <v>21</v>
      </c>
      <c r="E1" s="101" t="s">
        <v>22</v>
      </c>
      <c r="F1" s="101" t="s">
        <v>23</v>
      </c>
      <c r="G1" s="101" t="s">
        <v>24</v>
      </c>
      <c r="H1" s="101" t="s">
        <v>25</v>
      </c>
      <c r="I1" s="101" t="s">
        <v>26</v>
      </c>
      <c r="J1" s="101" t="s">
        <v>27</v>
      </c>
      <c r="K1" s="101" t="s">
        <v>37</v>
      </c>
      <c r="L1" s="101" t="s">
        <v>29</v>
      </c>
      <c r="M1" s="103" t="s">
        <v>30</v>
      </c>
      <c r="O1" s="104" t="s">
        <v>38</v>
      </c>
      <c r="P1" s="104" t="s">
        <v>15</v>
      </c>
      <c r="Q1" s="104" t="s">
        <v>6</v>
      </c>
      <c r="R1" s="105"/>
      <c r="S1" s="105"/>
      <c r="T1" s="105"/>
      <c r="U1" s="105"/>
    </row>
    <row r="2">
      <c r="A2" s="140">
        <f>IFERROR(__xludf.DUMMYFUNCTION("filter(All_Stores_Collection_Data,All_Stores_Collection_Data[Store]=""A14 KOMPALLY"")"),45659.891802199076)</f>
        <v>45659.8918</v>
      </c>
      <c r="B2" s="141">
        <f>IFERROR(__xludf.DUMMYFUNCTION("""COMPUTED_VALUE"""),45658.0)</f>
        <v>45658</v>
      </c>
      <c r="C2" s="142" t="str">
        <f>IFERROR(__xludf.DUMMYFUNCTION("""COMPUTED_VALUE"""),"A14 KOMPALLY")</f>
        <v>A14 KOMPALLY</v>
      </c>
      <c r="D2" s="143">
        <f>IFERROR(__xludf.DUMMYFUNCTION("""COMPUTED_VALUE"""),140575.0)</f>
        <v>140575</v>
      </c>
      <c r="E2" s="143">
        <f>IFERROR(__xludf.DUMMYFUNCTION("""COMPUTED_VALUE"""),90622.0)</f>
        <v>90622</v>
      </c>
      <c r="F2" s="143">
        <f>IFERROR(__xludf.DUMMYFUNCTION("""COMPUTED_VALUE"""),26812.0)</f>
        <v>26812</v>
      </c>
      <c r="G2" s="143">
        <f>IFERROR(__xludf.DUMMYFUNCTION("""COMPUTED_VALUE"""),0.0)</f>
        <v>0</v>
      </c>
      <c r="H2" s="143">
        <f>IFERROR(__xludf.DUMMYFUNCTION("""COMPUTED_VALUE"""),146.0)</f>
        <v>146</v>
      </c>
      <c r="I2" s="143">
        <f>IFERROR(__xludf.DUMMYFUNCTION("""COMPUTED_VALUE"""),58317.0)</f>
        <v>58317</v>
      </c>
      <c r="J2" s="143">
        <f>IFERROR(__xludf.DUMMYFUNCTION("""COMPUTED_VALUE"""),58503.0)</f>
        <v>58503</v>
      </c>
      <c r="K2" s="143">
        <f>IFERROR(__xludf.DUMMYFUNCTION("""COMPUTED_VALUE"""),0.0)</f>
        <v>0</v>
      </c>
      <c r="L2" s="143">
        <f>IFERROR(__xludf.DUMMYFUNCTION("""COMPUTED_VALUE"""),400.0)</f>
        <v>400</v>
      </c>
      <c r="M2" s="144">
        <f>IFERROR(__xludf.DUMMYFUNCTION("""COMPUTED_VALUE"""),186.0)</f>
        <v>186</v>
      </c>
      <c r="O2" s="113">
        <f>D32</f>
        <v>2654166</v>
      </c>
      <c r="P2" s="114">
        <f>sum(M1:M31)</f>
        <v>4242</v>
      </c>
      <c r="Q2" s="115">
        <f>(sum(D1:D31)-Sum(G1:G31))/P2</f>
        <v>625.0752004</v>
      </c>
      <c r="R2" s="114"/>
      <c r="S2" s="114"/>
      <c r="T2" s="115"/>
      <c r="U2" s="115"/>
    </row>
    <row r="3">
      <c r="A3" s="145">
        <f>IFERROR(__xludf.DUMMYFUNCTION("""COMPUTED_VALUE"""),45659.931655127315)</f>
        <v>45659.93166</v>
      </c>
      <c r="B3" s="146">
        <f>IFERROR(__xludf.DUMMYFUNCTION("""COMPUTED_VALUE"""),45659.0)</f>
        <v>45659</v>
      </c>
      <c r="C3" s="114" t="str">
        <f>IFERROR(__xludf.DUMMYFUNCTION("""COMPUTED_VALUE"""),"A14 KOMPALLY")</f>
        <v>A14 KOMPALLY</v>
      </c>
      <c r="D3" s="113">
        <f>IFERROR(__xludf.DUMMYFUNCTION("""COMPUTED_VALUE"""),171067.0)</f>
        <v>171067</v>
      </c>
      <c r="E3" s="113">
        <f>IFERROR(__xludf.DUMMYFUNCTION("""COMPUTED_VALUE"""),60745.0)</f>
        <v>60745</v>
      </c>
      <c r="F3" s="113">
        <f>IFERROR(__xludf.DUMMYFUNCTION("""COMPUTED_VALUE"""),41803.0)</f>
        <v>41803</v>
      </c>
      <c r="G3" s="113">
        <f>IFERROR(__xludf.DUMMYFUNCTION("""COMPUTED_VALUE"""),0.0)</f>
        <v>0</v>
      </c>
      <c r="H3" s="113">
        <f>IFERROR(__xludf.DUMMYFUNCTION("""COMPUTED_VALUE"""),0.0)</f>
        <v>0</v>
      </c>
      <c r="I3" s="113">
        <f>IFERROR(__xludf.DUMMYFUNCTION("""COMPUTED_VALUE"""),58504.0)</f>
        <v>58504</v>
      </c>
      <c r="J3" s="113">
        <f>IFERROR(__xludf.DUMMYFUNCTION("""COMPUTED_VALUE"""),58761.0)</f>
        <v>58761</v>
      </c>
      <c r="K3" s="114" t="str">
        <f>IFERROR(__xludf.DUMMYFUNCTION("""COMPUTED_VALUE"""),"no")</f>
        <v>no</v>
      </c>
      <c r="L3" s="113">
        <f>IFERROR(__xludf.DUMMYFUNCTION("""COMPUTED_VALUE"""),450.0)</f>
        <v>450</v>
      </c>
      <c r="M3" s="119">
        <f>IFERROR(__xludf.DUMMYFUNCTION("""COMPUTED_VALUE"""),257.0)</f>
        <v>257</v>
      </c>
    </row>
    <row r="4">
      <c r="A4" s="147">
        <f>IFERROR(__xludf.DUMMYFUNCTION("""COMPUTED_VALUE"""),45661.573104780095)</f>
        <v>45661.5731</v>
      </c>
      <c r="B4" s="146">
        <f>IFERROR(__xludf.DUMMYFUNCTION("""COMPUTED_VALUE"""),45660.0)</f>
        <v>45660</v>
      </c>
      <c r="C4" s="114" t="str">
        <f>IFERROR(__xludf.DUMMYFUNCTION("""COMPUTED_VALUE"""),"A14 KOMPALLY")</f>
        <v>A14 KOMPALLY</v>
      </c>
      <c r="D4" s="113">
        <f>IFERROR(__xludf.DUMMYFUNCTION("""COMPUTED_VALUE"""),171420.0)</f>
        <v>171420</v>
      </c>
      <c r="E4" s="113">
        <f>IFERROR(__xludf.DUMMYFUNCTION("""COMPUTED_VALUE"""),86930.0)</f>
        <v>86930</v>
      </c>
      <c r="F4" s="113">
        <f>IFERROR(__xludf.DUMMYFUNCTION("""COMPUTED_VALUE"""),25447.0)</f>
        <v>25447</v>
      </c>
      <c r="G4" s="113">
        <f>IFERROR(__xludf.DUMMYFUNCTION("""COMPUTED_VALUE"""),0.0)</f>
        <v>0</v>
      </c>
      <c r="H4" s="113">
        <f>IFERROR(__xludf.DUMMYFUNCTION("""COMPUTED_VALUE"""),0.0)</f>
        <v>0</v>
      </c>
      <c r="I4" s="113">
        <f>IFERROR(__xludf.DUMMYFUNCTION("""COMPUTED_VALUE"""),58762.0)</f>
        <v>58762</v>
      </c>
      <c r="J4" s="113">
        <f>IFERROR(__xludf.DUMMYFUNCTION("""COMPUTED_VALUE"""),59019.0)</f>
        <v>59019</v>
      </c>
      <c r="K4" s="113">
        <f>IFERROR(__xludf.DUMMYFUNCTION("""COMPUTED_VALUE"""),100500.0)</f>
        <v>100500</v>
      </c>
      <c r="L4" s="113">
        <f>IFERROR(__xludf.DUMMYFUNCTION("""COMPUTED_VALUE"""),460.0)</f>
        <v>460</v>
      </c>
      <c r="M4" s="119">
        <f>IFERROR(__xludf.DUMMYFUNCTION("""COMPUTED_VALUE"""),257.0)</f>
        <v>257</v>
      </c>
      <c r="O4" s="104" t="s">
        <v>39</v>
      </c>
    </row>
    <row r="5">
      <c r="A5" s="147">
        <f>IFERROR(__xludf.DUMMYFUNCTION("""COMPUTED_VALUE"""),45662.48993829861)</f>
        <v>45662.48994</v>
      </c>
      <c r="B5" s="146">
        <f>IFERROR(__xludf.DUMMYFUNCTION("""COMPUTED_VALUE"""),45661.0)</f>
        <v>45661</v>
      </c>
      <c r="C5" s="114" t="str">
        <f>IFERROR(__xludf.DUMMYFUNCTION("""COMPUTED_VALUE"""),"A14 KOMPALLY")</f>
        <v>A14 KOMPALLY</v>
      </c>
      <c r="D5" s="113">
        <f>IFERROR(__xludf.DUMMYFUNCTION("""COMPUTED_VALUE"""),200175.0)</f>
        <v>200175</v>
      </c>
      <c r="E5" s="113">
        <f>IFERROR(__xludf.DUMMYFUNCTION("""COMPUTED_VALUE"""),111282.0)</f>
        <v>111282</v>
      </c>
      <c r="F5" s="113">
        <f>IFERROR(__xludf.DUMMYFUNCTION("""COMPUTED_VALUE"""),32001.0)</f>
        <v>32001</v>
      </c>
      <c r="G5" s="114"/>
      <c r="H5" s="114"/>
      <c r="I5" s="113">
        <f>IFERROR(__xludf.DUMMYFUNCTION("""COMPUTED_VALUE"""),59020.0)</f>
        <v>59020</v>
      </c>
      <c r="J5" s="113">
        <f>IFERROR(__xludf.DUMMYFUNCTION("""COMPUTED_VALUE"""),59272.0)</f>
        <v>59272</v>
      </c>
      <c r="K5" s="114"/>
      <c r="L5" s="113">
        <f>IFERROR(__xludf.DUMMYFUNCTION("""COMPUTED_VALUE"""),410.0)</f>
        <v>410</v>
      </c>
      <c r="M5" s="119">
        <f>IFERROR(__xludf.DUMMYFUNCTION("""COMPUTED_VALUE"""),252.0)</f>
        <v>252</v>
      </c>
      <c r="O5" s="114">
        <f>SUMIF(A1:M30,Entry!B259,C1:C30)</f>
        <v>0</v>
      </c>
      <c r="P5" s="114" t="str">
        <f>VLOOKUP(Entry!B259,B:M,12,0)</f>
        <v>#REF!</v>
      </c>
      <c r="Q5" s="115" t="str">
        <f>(O5-Vlookup(Entry!B259,B:M,6,0))/P5</f>
        <v>#REF!</v>
      </c>
      <c r="R5" s="105"/>
      <c r="S5" s="105"/>
      <c r="T5" s="105"/>
      <c r="U5" s="105"/>
    </row>
    <row r="6">
      <c r="A6" s="147">
        <f>IFERROR(__xludf.DUMMYFUNCTION("""COMPUTED_VALUE"""),45662.93572553241)</f>
        <v>45662.93573</v>
      </c>
      <c r="B6" s="146">
        <f>IFERROR(__xludf.DUMMYFUNCTION("""COMPUTED_VALUE"""),45662.0)</f>
        <v>45662</v>
      </c>
      <c r="C6" s="114" t="str">
        <f>IFERROR(__xludf.DUMMYFUNCTION("""COMPUTED_VALUE"""),"A14 KOMPALLY")</f>
        <v>A14 KOMPALLY</v>
      </c>
      <c r="D6" s="113">
        <f>IFERROR(__xludf.DUMMYFUNCTION("""COMPUTED_VALUE"""),109124.0)</f>
        <v>109124</v>
      </c>
      <c r="E6" s="113">
        <f>IFERROR(__xludf.DUMMYFUNCTION("""COMPUTED_VALUE"""),54722.0)</f>
        <v>54722</v>
      </c>
      <c r="F6" s="113">
        <f>IFERROR(__xludf.DUMMYFUNCTION("""COMPUTED_VALUE"""),21442.0)</f>
        <v>21442</v>
      </c>
      <c r="G6" s="113">
        <f>IFERROR(__xludf.DUMMYFUNCTION("""COMPUTED_VALUE"""),0.0)</f>
        <v>0</v>
      </c>
      <c r="H6" s="113">
        <f>IFERROR(__xludf.DUMMYFUNCTION("""COMPUTED_VALUE"""),0.0)</f>
        <v>0</v>
      </c>
      <c r="I6" s="113">
        <f>IFERROR(__xludf.DUMMYFUNCTION("""COMPUTED_VALUE"""),59273.0)</f>
        <v>59273</v>
      </c>
      <c r="J6" s="113">
        <f>IFERROR(__xludf.DUMMYFUNCTION("""COMPUTED_VALUE"""),59453.0)</f>
        <v>59453</v>
      </c>
      <c r="K6" s="113">
        <f>IFERROR(__xludf.DUMMYFUNCTION("""COMPUTED_VALUE"""),0.0)</f>
        <v>0</v>
      </c>
      <c r="L6" s="113">
        <f>IFERROR(__xludf.DUMMYFUNCTION("""COMPUTED_VALUE"""),10.0)</f>
        <v>10</v>
      </c>
      <c r="M6" s="119">
        <f>IFERROR(__xludf.DUMMYFUNCTION("""COMPUTED_VALUE"""),180.0)</f>
        <v>180</v>
      </c>
      <c r="O6" s="114"/>
      <c r="P6" s="114"/>
      <c r="Q6" s="114"/>
      <c r="R6" s="114"/>
      <c r="S6" s="114"/>
      <c r="T6" s="115"/>
      <c r="U6" s="115"/>
    </row>
    <row r="7">
      <c r="A7" s="147">
        <f>IFERROR(__xludf.DUMMYFUNCTION("""COMPUTED_VALUE"""),45664.670410335646)</f>
        <v>45664.67041</v>
      </c>
      <c r="B7" s="146">
        <f>IFERROR(__xludf.DUMMYFUNCTION("""COMPUTED_VALUE"""),45663.0)</f>
        <v>45663</v>
      </c>
      <c r="C7" s="114" t="str">
        <f>IFERROR(__xludf.DUMMYFUNCTION("""COMPUTED_VALUE"""),"A14 KOMPALLY")</f>
        <v>A14 KOMPALLY</v>
      </c>
      <c r="D7" s="113">
        <f>IFERROR(__xludf.DUMMYFUNCTION("""COMPUTED_VALUE"""),175150.0)</f>
        <v>175150</v>
      </c>
      <c r="E7" s="113">
        <f>IFERROR(__xludf.DUMMYFUNCTION("""COMPUTED_VALUE"""),69724.0)</f>
        <v>69724</v>
      </c>
      <c r="F7" s="113">
        <f>IFERROR(__xludf.DUMMYFUNCTION("""COMPUTED_VALUE"""),47522.0)</f>
        <v>47522</v>
      </c>
      <c r="G7" s="113">
        <f>IFERROR(__xludf.DUMMYFUNCTION("""COMPUTED_VALUE"""),0.0)</f>
        <v>0</v>
      </c>
      <c r="H7" s="113">
        <f>IFERROR(__xludf.DUMMYFUNCTION("""COMPUTED_VALUE"""),0.0)</f>
        <v>0</v>
      </c>
      <c r="I7" s="113">
        <f>IFERROR(__xludf.DUMMYFUNCTION("""COMPUTED_VALUE"""),59454.0)</f>
        <v>59454</v>
      </c>
      <c r="J7" s="113">
        <f>IFERROR(__xludf.DUMMYFUNCTION("""COMPUTED_VALUE"""),59680.0)</f>
        <v>59680</v>
      </c>
      <c r="K7" s="113">
        <f>IFERROR(__xludf.DUMMYFUNCTION("""COMPUTED_VALUE"""),50000.0)</f>
        <v>50000</v>
      </c>
      <c r="L7" s="113">
        <f>IFERROR(__xludf.DUMMYFUNCTION("""COMPUTED_VALUE"""),470.0)</f>
        <v>470</v>
      </c>
      <c r="M7" s="119">
        <f>IFERROR(__xludf.DUMMYFUNCTION("""COMPUTED_VALUE"""),226.0)</f>
        <v>226</v>
      </c>
    </row>
    <row r="8">
      <c r="A8" s="147">
        <f>IFERROR(__xludf.DUMMYFUNCTION("""COMPUTED_VALUE"""),45665.5623815162)</f>
        <v>45665.56238</v>
      </c>
      <c r="B8" s="146">
        <f>IFERROR(__xludf.DUMMYFUNCTION("""COMPUTED_VALUE"""),45664.0)</f>
        <v>45664</v>
      </c>
      <c r="C8" s="114" t="str">
        <f>IFERROR(__xludf.DUMMYFUNCTION("""COMPUTED_VALUE"""),"A14 KOMPALLY")</f>
        <v>A14 KOMPALLY</v>
      </c>
      <c r="D8" s="113">
        <f>IFERROR(__xludf.DUMMYFUNCTION("""COMPUTED_VALUE"""),155115.0)</f>
        <v>155115</v>
      </c>
      <c r="E8" s="113">
        <f>IFERROR(__xludf.DUMMYFUNCTION("""COMPUTED_VALUE"""),76094.0)</f>
        <v>76094</v>
      </c>
      <c r="F8" s="113">
        <f>IFERROR(__xludf.DUMMYFUNCTION("""COMPUTED_VALUE"""),32836.0)</f>
        <v>32836</v>
      </c>
      <c r="G8" s="113">
        <f>IFERROR(__xludf.DUMMYFUNCTION("""COMPUTED_VALUE"""),0.0)</f>
        <v>0</v>
      </c>
      <c r="H8" s="113">
        <f>IFERROR(__xludf.DUMMYFUNCTION("""COMPUTED_VALUE"""),0.0)</f>
        <v>0</v>
      </c>
      <c r="I8" s="113">
        <f>IFERROR(__xludf.DUMMYFUNCTION("""COMPUTED_VALUE"""),59681.0)</f>
        <v>59681</v>
      </c>
      <c r="J8" s="113">
        <f>IFERROR(__xludf.DUMMYFUNCTION("""COMPUTED_VALUE"""),59897.0)</f>
        <v>59897</v>
      </c>
      <c r="K8" s="113">
        <f>IFERROR(__xludf.DUMMYFUNCTION("""COMPUTED_VALUE"""),0.0)</f>
        <v>0</v>
      </c>
      <c r="L8" s="113">
        <f>IFERROR(__xludf.DUMMYFUNCTION("""COMPUTED_VALUE"""),970.0)</f>
        <v>970</v>
      </c>
      <c r="M8" s="119">
        <f>IFERROR(__xludf.DUMMYFUNCTION("""COMPUTED_VALUE"""),216.0)</f>
        <v>216</v>
      </c>
    </row>
    <row r="9">
      <c r="A9" s="147">
        <f>IFERROR(__xludf.DUMMYFUNCTION("""COMPUTED_VALUE"""),45665.935367708335)</f>
        <v>45665.93537</v>
      </c>
      <c r="B9" s="146">
        <f>IFERROR(__xludf.DUMMYFUNCTION("""COMPUTED_VALUE"""),45665.0)</f>
        <v>45665</v>
      </c>
      <c r="C9" s="114" t="str">
        <f>IFERROR(__xludf.DUMMYFUNCTION("""COMPUTED_VALUE"""),"A14 KOMPALLY")</f>
        <v>A14 KOMPALLY</v>
      </c>
      <c r="D9" s="113">
        <f>IFERROR(__xludf.DUMMYFUNCTION("""COMPUTED_VALUE"""),145809.0)</f>
        <v>145809</v>
      </c>
      <c r="E9" s="113">
        <f>IFERROR(__xludf.DUMMYFUNCTION("""COMPUTED_VALUE"""),73758.0)</f>
        <v>73758</v>
      </c>
      <c r="F9" s="113">
        <f>IFERROR(__xludf.DUMMYFUNCTION("""COMPUTED_VALUE"""),21520.0)</f>
        <v>21520</v>
      </c>
      <c r="G9" s="113">
        <f>IFERROR(__xludf.DUMMYFUNCTION("""COMPUTED_VALUE"""),0.0)</f>
        <v>0</v>
      </c>
      <c r="H9" s="113">
        <f>IFERROR(__xludf.DUMMYFUNCTION("""COMPUTED_VALUE"""),0.0)</f>
        <v>0</v>
      </c>
      <c r="I9" s="113">
        <f>IFERROR(__xludf.DUMMYFUNCTION("""COMPUTED_VALUE"""),59898.0)</f>
        <v>59898</v>
      </c>
      <c r="J9" s="113">
        <f>IFERROR(__xludf.DUMMYFUNCTION("""COMPUTED_VALUE"""),60113.0)</f>
        <v>60113</v>
      </c>
      <c r="K9" s="113">
        <f>IFERROR(__xludf.DUMMYFUNCTION("""COMPUTED_VALUE"""),0.0)</f>
        <v>0</v>
      </c>
      <c r="L9" s="113">
        <f>IFERROR(__xludf.DUMMYFUNCTION("""COMPUTED_VALUE"""),400.0)</f>
        <v>400</v>
      </c>
      <c r="M9" s="119">
        <f>IFERROR(__xludf.DUMMYFUNCTION("""COMPUTED_VALUE"""),215.0)</f>
        <v>215</v>
      </c>
    </row>
    <row r="10">
      <c r="A10" s="147">
        <f>IFERROR(__xludf.DUMMYFUNCTION("""COMPUTED_VALUE"""),45666.935694942134)</f>
        <v>45666.93569</v>
      </c>
      <c r="B10" s="146">
        <f>IFERROR(__xludf.DUMMYFUNCTION("""COMPUTED_VALUE"""),45666.0)</f>
        <v>45666</v>
      </c>
      <c r="C10" s="114" t="str">
        <f>IFERROR(__xludf.DUMMYFUNCTION("""COMPUTED_VALUE"""),"A14 KOMPALLY")</f>
        <v>A14 KOMPALLY</v>
      </c>
      <c r="D10" s="113">
        <f>IFERROR(__xludf.DUMMYFUNCTION("""COMPUTED_VALUE"""),148558.0)</f>
        <v>148558</v>
      </c>
      <c r="E10" s="113">
        <f>IFERROR(__xludf.DUMMYFUNCTION("""COMPUTED_VALUE"""),99404.0)</f>
        <v>99404</v>
      </c>
      <c r="F10" s="113">
        <f>IFERROR(__xludf.DUMMYFUNCTION("""COMPUTED_VALUE"""),16471.0)</f>
        <v>16471</v>
      </c>
      <c r="G10" s="113">
        <f>IFERROR(__xludf.DUMMYFUNCTION("""COMPUTED_VALUE"""),0.0)</f>
        <v>0</v>
      </c>
      <c r="H10" s="113">
        <f>IFERROR(__xludf.DUMMYFUNCTION("""COMPUTED_VALUE"""),0.0)</f>
        <v>0</v>
      </c>
      <c r="I10" s="113">
        <f>IFERROR(__xludf.DUMMYFUNCTION("""COMPUTED_VALUE"""),60114.0)</f>
        <v>60114</v>
      </c>
      <c r="J10" s="113">
        <f>IFERROR(__xludf.DUMMYFUNCTION("""COMPUTED_VALUE"""),60338.0)</f>
        <v>60338</v>
      </c>
      <c r="K10" s="113">
        <f>IFERROR(__xludf.DUMMYFUNCTION("""COMPUTED_VALUE"""),10000.0)</f>
        <v>10000</v>
      </c>
      <c r="L10" s="113">
        <f>IFERROR(__xludf.DUMMYFUNCTION("""COMPUTED_VALUE"""),450.0)</f>
        <v>450</v>
      </c>
      <c r="M10" s="119">
        <f>IFERROR(__xludf.DUMMYFUNCTION("""COMPUTED_VALUE"""),224.0)</f>
        <v>224</v>
      </c>
    </row>
    <row r="11">
      <c r="A11" s="147">
        <f>IFERROR(__xludf.DUMMYFUNCTION("""COMPUTED_VALUE"""),45667.94042038194)</f>
        <v>45667.94042</v>
      </c>
      <c r="B11" s="146">
        <f>IFERROR(__xludf.DUMMYFUNCTION("""COMPUTED_VALUE"""),45667.0)</f>
        <v>45667</v>
      </c>
      <c r="C11" s="114" t="str">
        <f>IFERROR(__xludf.DUMMYFUNCTION("""COMPUTED_VALUE"""),"A14 KOMPALLY")</f>
        <v>A14 KOMPALLY</v>
      </c>
      <c r="D11" s="113">
        <f>IFERROR(__xludf.DUMMYFUNCTION("""COMPUTED_VALUE"""),126869.0)</f>
        <v>126869</v>
      </c>
      <c r="E11" s="113">
        <f>IFERROR(__xludf.DUMMYFUNCTION("""COMPUTED_VALUE"""),53890.0)</f>
        <v>53890</v>
      </c>
      <c r="F11" s="113">
        <f>IFERROR(__xludf.DUMMYFUNCTION("""COMPUTED_VALUE"""),34946.0)</f>
        <v>34946</v>
      </c>
      <c r="G11" s="113">
        <f>IFERROR(__xludf.DUMMYFUNCTION("""COMPUTED_VALUE"""),0.0)</f>
        <v>0</v>
      </c>
      <c r="H11" s="113">
        <f>IFERROR(__xludf.DUMMYFUNCTION("""COMPUTED_VALUE"""),0.0)</f>
        <v>0</v>
      </c>
      <c r="I11" s="113">
        <f>IFERROR(__xludf.DUMMYFUNCTION("""COMPUTED_VALUE"""),60339.0)</f>
        <v>60339</v>
      </c>
      <c r="J11" s="113">
        <f>IFERROR(__xludf.DUMMYFUNCTION("""COMPUTED_VALUE"""),60578.0)</f>
        <v>60578</v>
      </c>
      <c r="K11" s="113">
        <f>IFERROR(__xludf.DUMMYFUNCTION("""COMPUTED_VALUE"""),0.0)</f>
        <v>0</v>
      </c>
      <c r="L11" s="113">
        <f>IFERROR(__xludf.DUMMYFUNCTION("""COMPUTED_VALUE"""),690.0)</f>
        <v>690</v>
      </c>
      <c r="M11" s="119">
        <f>IFERROR(__xludf.DUMMYFUNCTION("""COMPUTED_VALUE"""),239.0)</f>
        <v>239</v>
      </c>
    </row>
    <row r="12">
      <c r="A12" s="147">
        <f>IFERROR(__xludf.DUMMYFUNCTION("""COMPUTED_VALUE"""),45669.451863553244)</f>
        <v>45669.45186</v>
      </c>
      <c r="B12" s="146">
        <f>IFERROR(__xludf.DUMMYFUNCTION("""COMPUTED_VALUE"""),45668.0)</f>
        <v>45668</v>
      </c>
      <c r="C12" s="114" t="str">
        <f>IFERROR(__xludf.DUMMYFUNCTION("""COMPUTED_VALUE"""),"A14 KOMPALLY")</f>
        <v>A14 KOMPALLY</v>
      </c>
      <c r="D12" s="113">
        <f>IFERROR(__xludf.DUMMYFUNCTION("""COMPUTED_VALUE"""),141676.0)</f>
        <v>141676</v>
      </c>
      <c r="E12" s="113">
        <f>IFERROR(__xludf.DUMMYFUNCTION("""COMPUTED_VALUE"""),163241.0)</f>
        <v>163241</v>
      </c>
      <c r="F12" s="113">
        <f>IFERROR(__xludf.DUMMYFUNCTION("""COMPUTED_VALUE"""),22182.0)</f>
        <v>22182</v>
      </c>
      <c r="G12" s="113">
        <f>IFERROR(__xludf.DUMMYFUNCTION("""COMPUTED_VALUE"""),138.0)</f>
        <v>138</v>
      </c>
      <c r="H12" s="114" t="str">
        <f>IFERROR(__xludf.DUMMYFUNCTION("""COMPUTED_VALUE"""),"no")</f>
        <v>no</v>
      </c>
      <c r="I12" s="113">
        <f>IFERROR(__xludf.DUMMYFUNCTION("""COMPUTED_VALUE"""),60579.0)</f>
        <v>60579</v>
      </c>
      <c r="J12" s="113">
        <f>IFERROR(__xludf.DUMMYFUNCTION("""COMPUTED_VALUE"""),60794.0)</f>
        <v>60794</v>
      </c>
      <c r="K12" s="114" t="str">
        <f>IFERROR(__xludf.DUMMYFUNCTION("""COMPUTED_VALUE"""),"no")</f>
        <v>no</v>
      </c>
      <c r="L12" s="113">
        <f>IFERROR(__xludf.DUMMYFUNCTION("""COMPUTED_VALUE"""),920.0)</f>
        <v>920</v>
      </c>
      <c r="M12" s="119">
        <f>IFERROR(__xludf.DUMMYFUNCTION("""COMPUTED_VALUE"""),215.0)</f>
        <v>215</v>
      </c>
    </row>
    <row r="13">
      <c r="A13" s="147">
        <f>IFERROR(__xludf.DUMMYFUNCTION("""COMPUTED_VALUE"""),45669.9353417824)</f>
        <v>45669.93534</v>
      </c>
      <c r="B13" s="146">
        <f>IFERROR(__xludf.DUMMYFUNCTION("""COMPUTED_VALUE"""),45669.0)</f>
        <v>45669</v>
      </c>
      <c r="C13" s="114" t="str">
        <f>IFERROR(__xludf.DUMMYFUNCTION("""COMPUTED_VALUE"""),"A14 KOMPALLY")</f>
        <v>A14 KOMPALLY</v>
      </c>
      <c r="D13" s="113">
        <f>IFERROR(__xludf.DUMMYFUNCTION("""COMPUTED_VALUE"""),85209.0)</f>
        <v>85209</v>
      </c>
      <c r="E13" s="113">
        <f>IFERROR(__xludf.DUMMYFUNCTION("""COMPUTED_VALUE"""),42912.0)</f>
        <v>42912</v>
      </c>
      <c r="F13" s="113">
        <f>IFERROR(__xludf.DUMMYFUNCTION("""COMPUTED_VALUE"""),19953.0)</f>
        <v>19953</v>
      </c>
      <c r="G13" s="113">
        <f>IFERROR(__xludf.DUMMYFUNCTION("""COMPUTED_VALUE"""),0.0)</f>
        <v>0</v>
      </c>
      <c r="H13" s="113">
        <f>IFERROR(__xludf.DUMMYFUNCTION("""COMPUTED_VALUE"""),0.0)</f>
        <v>0</v>
      </c>
      <c r="I13" s="113">
        <f>IFERROR(__xludf.DUMMYFUNCTION("""COMPUTED_VALUE"""),60795.0)</f>
        <v>60795</v>
      </c>
      <c r="J13" s="113">
        <f>IFERROR(__xludf.DUMMYFUNCTION("""COMPUTED_VALUE"""),60972.0)</f>
        <v>60972</v>
      </c>
      <c r="K13" s="113">
        <f>IFERROR(__xludf.DUMMYFUNCTION("""COMPUTED_VALUE"""),0.0)</f>
        <v>0</v>
      </c>
      <c r="L13" s="113">
        <f>IFERROR(__xludf.DUMMYFUNCTION("""COMPUTED_VALUE"""),340.0)</f>
        <v>340</v>
      </c>
      <c r="M13" s="119">
        <f>IFERROR(__xludf.DUMMYFUNCTION("""COMPUTED_VALUE"""),177.0)</f>
        <v>177</v>
      </c>
    </row>
    <row r="14">
      <c r="A14" s="147">
        <f>IFERROR(__xludf.DUMMYFUNCTION("""COMPUTED_VALUE"""),45671.47990118056)</f>
        <v>45671.4799</v>
      </c>
      <c r="B14" s="146">
        <f>IFERROR(__xludf.DUMMYFUNCTION("""COMPUTED_VALUE"""),45670.0)</f>
        <v>45670</v>
      </c>
      <c r="C14" s="114" t="str">
        <f>IFERROR(__xludf.DUMMYFUNCTION("""COMPUTED_VALUE"""),"A14 KOMPALLY")</f>
        <v>A14 KOMPALLY</v>
      </c>
      <c r="D14" s="113">
        <f>IFERROR(__xludf.DUMMYFUNCTION("""COMPUTED_VALUE"""),114854.0)</f>
        <v>114854</v>
      </c>
      <c r="E14" s="113">
        <f>IFERROR(__xludf.DUMMYFUNCTION("""COMPUTED_VALUE"""),52750.0)</f>
        <v>52750</v>
      </c>
      <c r="F14" s="113">
        <f>IFERROR(__xludf.DUMMYFUNCTION("""COMPUTED_VALUE"""),20477.0)</f>
        <v>20477</v>
      </c>
      <c r="G14" s="113">
        <f>IFERROR(__xludf.DUMMYFUNCTION("""COMPUTED_VALUE"""),0.0)</f>
        <v>0</v>
      </c>
      <c r="H14" s="113">
        <f>IFERROR(__xludf.DUMMYFUNCTION("""COMPUTED_VALUE"""),0.0)</f>
        <v>0</v>
      </c>
      <c r="I14" s="113">
        <f>IFERROR(__xludf.DUMMYFUNCTION("""COMPUTED_VALUE"""),60973.0)</f>
        <v>60973</v>
      </c>
      <c r="J14" s="113">
        <f>IFERROR(__xludf.DUMMYFUNCTION("""COMPUTED_VALUE"""),61159.0)</f>
        <v>61159</v>
      </c>
      <c r="K14" s="113">
        <f>IFERROR(__xludf.DUMMYFUNCTION("""COMPUTED_VALUE"""),75500.0)</f>
        <v>75500</v>
      </c>
      <c r="L14" s="113">
        <f>IFERROR(__xludf.DUMMYFUNCTION("""COMPUTED_VALUE"""),380.0)</f>
        <v>380</v>
      </c>
      <c r="M14" s="119">
        <f>IFERROR(__xludf.DUMMYFUNCTION("""COMPUTED_VALUE"""),186.0)</f>
        <v>186</v>
      </c>
    </row>
    <row r="15">
      <c r="A15" s="147">
        <f>IFERROR(__xludf.DUMMYFUNCTION("""COMPUTED_VALUE"""),45671.924504027775)</f>
        <v>45671.9245</v>
      </c>
      <c r="B15" s="146">
        <f>IFERROR(__xludf.DUMMYFUNCTION("""COMPUTED_VALUE"""),45671.0)</f>
        <v>45671</v>
      </c>
      <c r="C15" s="114" t="str">
        <f>IFERROR(__xludf.DUMMYFUNCTION("""COMPUTED_VALUE"""),"A14 KOMPALLY")</f>
        <v>A14 KOMPALLY</v>
      </c>
      <c r="D15" s="113">
        <f>IFERROR(__xludf.DUMMYFUNCTION("""COMPUTED_VALUE"""),71865.0)</f>
        <v>71865</v>
      </c>
      <c r="E15" s="113">
        <f>IFERROR(__xludf.DUMMYFUNCTION("""COMPUTED_VALUE"""),38941.0)</f>
        <v>38941</v>
      </c>
      <c r="F15" s="113">
        <f>IFERROR(__xludf.DUMMYFUNCTION("""COMPUTED_VALUE"""),27304.0)</f>
        <v>27304</v>
      </c>
      <c r="G15" s="113">
        <f>IFERROR(__xludf.DUMMYFUNCTION("""COMPUTED_VALUE"""),0.0)</f>
        <v>0</v>
      </c>
      <c r="H15" s="113">
        <f>IFERROR(__xludf.DUMMYFUNCTION("""COMPUTED_VALUE"""),0.0)</f>
        <v>0</v>
      </c>
      <c r="I15" s="113">
        <f>IFERROR(__xludf.DUMMYFUNCTION("""COMPUTED_VALUE"""),61160.0)</f>
        <v>61160</v>
      </c>
      <c r="J15" s="113">
        <f>IFERROR(__xludf.DUMMYFUNCTION("""COMPUTED_VALUE"""),61303.0)</f>
        <v>61303</v>
      </c>
      <c r="K15" s="113">
        <f>IFERROR(__xludf.DUMMYFUNCTION("""COMPUTED_VALUE"""),0.0)</f>
        <v>0</v>
      </c>
      <c r="L15" s="113">
        <f>IFERROR(__xludf.DUMMYFUNCTION("""COMPUTED_VALUE"""),350.0)</f>
        <v>350</v>
      </c>
      <c r="M15" s="119">
        <f>IFERROR(__xludf.DUMMYFUNCTION("""COMPUTED_VALUE"""),143.0)</f>
        <v>143</v>
      </c>
    </row>
    <row r="16">
      <c r="A16" s="147">
        <f>IFERROR(__xludf.DUMMYFUNCTION("""COMPUTED_VALUE"""),45673.361767291666)</f>
        <v>45673.36177</v>
      </c>
      <c r="B16" s="146">
        <f>IFERROR(__xludf.DUMMYFUNCTION("""COMPUTED_VALUE"""),45672.0)</f>
        <v>45672</v>
      </c>
      <c r="C16" s="114" t="str">
        <f>IFERROR(__xludf.DUMMYFUNCTION("""COMPUTED_VALUE"""),"A14 KOMPALLY")</f>
        <v>A14 KOMPALLY</v>
      </c>
      <c r="D16" s="113">
        <f>IFERROR(__xludf.DUMMYFUNCTION("""COMPUTED_VALUE"""),81786.0)</f>
        <v>81786</v>
      </c>
      <c r="E16" s="113">
        <f>IFERROR(__xludf.DUMMYFUNCTION("""COMPUTED_VALUE"""),50749.0)</f>
        <v>50749</v>
      </c>
      <c r="F16" s="113">
        <f>IFERROR(__xludf.DUMMYFUNCTION("""COMPUTED_VALUE"""),9868.0)</f>
        <v>9868</v>
      </c>
      <c r="G16" s="113">
        <f>IFERROR(__xludf.DUMMYFUNCTION("""COMPUTED_VALUE"""),2459.0)</f>
        <v>2459</v>
      </c>
      <c r="H16" s="113">
        <f>IFERROR(__xludf.DUMMYFUNCTION("""COMPUTED_VALUE"""),0.0)</f>
        <v>0</v>
      </c>
      <c r="I16" s="113">
        <f>IFERROR(__xludf.DUMMYFUNCTION("""COMPUTED_VALUE"""),61304.0)</f>
        <v>61304</v>
      </c>
      <c r="J16" s="113">
        <f>IFERROR(__xludf.DUMMYFUNCTION("""COMPUTED_VALUE"""),61473.0)</f>
        <v>61473</v>
      </c>
      <c r="K16" s="113">
        <f>IFERROR(__xludf.DUMMYFUNCTION("""COMPUTED_VALUE"""),0.0)</f>
        <v>0</v>
      </c>
      <c r="L16" s="113">
        <f>IFERROR(__xludf.DUMMYFUNCTION("""COMPUTED_VALUE"""),350.0)</f>
        <v>350</v>
      </c>
      <c r="M16" s="119">
        <f>IFERROR(__xludf.DUMMYFUNCTION("""COMPUTED_VALUE"""),169.0)</f>
        <v>169</v>
      </c>
    </row>
    <row r="17">
      <c r="A17" s="147">
        <f>IFERROR(__xludf.DUMMYFUNCTION("""COMPUTED_VALUE"""),45673.932737951385)</f>
        <v>45673.93274</v>
      </c>
      <c r="B17" s="146">
        <f>IFERROR(__xludf.DUMMYFUNCTION("""COMPUTED_VALUE"""),45673.0)</f>
        <v>45673</v>
      </c>
      <c r="C17" s="114" t="str">
        <f>IFERROR(__xludf.DUMMYFUNCTION("""COMPUTED_VALUE"""),"A14 KOMPALLY")</f>
        <v>A14 KOMPALLY</v>
      </c>
      <c r="D17" s="113">
        <f>IFERROR(__xludf.DUMMYFUNCTION("""COMPUTED_VALUE"""),127595.0)</f>
        <v>127595</v>
      </c>
      <c r="E17" s="113">
        <f>IFERROR(__xludf.DUMMYFUNCTION("""COMPUTED_VALUE"""),60648.0)</f>
        <v>60648</v>
      </c>
      <c r="F17" s="113">
        <f>IFERROR(__xludf.DUMMYFUNCTION("""COMPUTED_VALUE"""),26970.0)</f>
        <v>26970</v>
      </c>
      <c r="G17" s="113">
        <f>IFERROR(__xludf.DUMMYFUNCTION("""COMPUTED_VALUE"""),0.0)</f>
        <v>0</v>
      </c>
      <c r="H17" s="113">
        <f>IFERROR(__xludf.DUMMYFUNCTION("""COMPUTED_VALUE"""),0.0)</f>
        <v>0</v>
      </c>
      <c r="I17" s="113">
        <f>IFERROR(__xludf.DUMMYFUNCTION("""COMPUTED_VALUE"""),61474.0)</f>
        <v>61474</v>
      </c>
      <c r="J17" s="113">
        <f>IFERROR(__xludf.DUMMYFUNCTION("""COMPUTED_VALUE"""),61681.0)</f>
        <v>61681</v>
      </c>
      <c r="K17" s="113">
        <f>IFERROR(__xludf.DUMMYFUNCTION("""COMPUTED_VALUE"""),0.0)</f>
        <v>0</v>
      </c>
      <c r="L17" s="113">
        <f>IFERROR(__xludf.DUMMYFUNCTION("""COMPUTED_VALUE"""),400.0)</f>
        <v>400</v>
      </c>
      <c r="M17" s="119">
        <f>IFERROR(__xludf.DUMMYFUNCTION("""COMPUTED_VALUE"""),207.0)</f>
        <v>207</v>
      </c>
    </row>
    <row r="18">
      <c r="A18" s="147">
        <f>IFERROR(__xludf.DUMMYFUNCTION("""COMPUTED_VALUE"""),45674.94490472222)</f>
        <v>45674.9449</v>
      </c>
      <c r="B18" s="146">
        <f>IFERROR(__xludf.DUMMYFUNCTION("""COMPUTED_VALUE"""),45674.0)</f>
        <v>45674</v>
      </c>
      <c r="C18" s="114" t="str">
        <f>IFERROR(__xludf.DUMMYFUNCTION("""COMPUTED_VALUE"""),"A14 KOMPALLY")</f>
        <v>A14 KOMPALLY</v>
      </c>
      <c r="D18" s="113">
        <f>IFERROR(__xludf.DUMMYFUNCTION("""COMPUTED_VALUE"""),127102.0)</f>
        <v>127102</v>
      </c>
      <c r="E18" s="113">
        <f>IFERROR(__xludf.DUMMYFUNCTION("""COMPUTED_VALUE"""),67884.0)</f>
        <v>67884</v>
      </c>
      <c r="F18" s="113">
        <f>IFERROR(__xludf.DUMMYFUNCTION("""COMPUTED_VALUE"""),24179.0)</f>
        <v>24179</v>
      </c>
      <c r="G18" s="113">
        <f>IFERROR(__xludf.DUMMYFUNCTION("""COMPUTED_VALUE"""),0.0)</f>
        <v>0</v>
      </c>
      <c r="H18" s="113">
        <f>IFERROR(__xludf.DUMMYFUNCTION("""COMPUTED_VALUE"""),0.0)</f>
        <v>0</v>
      </c>
      <c r="I18" s="113">
        <f>IFERROR(__xludf.DUMMYFUNCTION("""COMPUTED_VALUE"""),61682.0)</f>
        <v>61682</v>
      </c>
      <c r="J18" s="113">
        <f>IFERROR(__xludf.DUMMYFUNCTION("""COMPUTED_VALUE"""),61924.0)</f>
        <v>61924</v>
      </c>
      <c r="K18" s="113">
        <f>IFERROR(__xludf.DUMMYFUNCTION("""COMPUTED_VALUE"""),100000.0)</f>
        <v>100000</v>
      </c>
      <c r="L18" s="113">
        <f>IFERROR(__xludf.DUMMYFUNCTION("""COMPUTED_VALUE"""),700.0)</f>
        <v>700</v>
      </c>
      <c r="M18" s="119">
        <f>IFERROR(__xludf.DUMMYFUNCTION("""COMPUTED_VALUE"""),242.0)</f>
        <v>242</v>
      </c>
    </row>
    <row r="19">
      <c r="A19" s="147">
        <f>IFERROR(__xludf.DUMMYFUNCTION("""COMPUTED_VALUE"""),45675.94007673611)</f>
        <v>45675.94008</v>
      </c>
      <c r="B19" s="146">
        <f>IFERROR(__xludf.DUMMYFUNCTION("""COMPUTED_VALUE"""),45675.0)</f>
        <v>45675</v>
      </c>
      <c r="C19" s="114" t="str">
        <f>IFERROR(__xludf.DUMMYFUNCTION("""COMPUTED_VALUE"""),"A14 KOMPALLY")</f>
        <v>A14 KOMPALLY</v>
      </c>
      <c r="D19" s="113">
        <f>IFERROR(__xludf.DUMMYFUNCTION("""COMPUTED_VALUE"""),115306.0)</f>
        <v>115306</v>
      </c>
      <c r="E19" s="113">
        <f>IFERROR(__xludf.DUMMYFUNCTION("""COMPUTED_VALUE"""),86510.0)</f>
        <v>86510</v>
      </c>
      <c r="F19" s="113">
        <f>IFERROR(__xludf.DUMMYFUNCTION("""COMPUTED_VALUE"""),15768.0)</f>
        <v>15768</v>
      </c>
      <c r="G19" s="113">
        <f>IFERROR(__xludf.DUMMYFUNCTION("""COMPUTED_VALUE"""),0.0)</f>
        <v>0</v>
      </c>
      <c r="H19" s="113">
        <f>IFERROR(__xludf.DUMMYFUNCTION("""COMPUTED_VALUE"""),0.0)</f>
        <v>0</v>
      </c>
      <c r="I19" s="113">
        <f>IFERROR(__xludf.DUMMYFUNCTION("""COMPUTED_VALUE"""),61925.0)</f>
        <v>61925</v>
      </c>
      <c r="J19" s="113">
        <f>IFERROR(__xludf.DUMMYFUNCTION("""COMPUTED_VALUE"""),62133.0)</f>
        <v>62133</v>
      </c>
      <c r="K19" s="113">
        <f>IFERROR(__xludf.DUMMYFUNCTION("""COMPUTED_VALUE"""),0.0)</f>
        <v>0</v>
      </c>
      <c r="L19" s="113">
        <f>IFERROR(__xludf.DUMMYFUNCTION("""COMPUTED_VALUE"""),1600.0)</f>
        <v>1600</v>
      </c>
      <c r="M19" s="119">
        <f>IFERROR(__xludf.DUMMYFUNCTION("""COMPUTED_VALUE"""),208.0)</f>
        <v>208</v>
      </c>
    </row>
    <row r="20">
      <c r="A20" s="147">
        <f>IFERROR(__xludf.DUMMYFUNCTION("""COMPUTED_VALUE"""),45676.93179854167)</f>
        <v>45676.9318</v>
      </c>
      <c r="B20" s="146">
        <f>IFERROR(__xludf.DUMMYFUNCTION("""COMPUTED_VALUE"""),45676.0)</f>
        <v>45676</v>
      </c>
      <c r="C20" s="114" t="str">
        <f>IFERROR(__xludf.DUMMYFUNCTION("""COMPUTED_VALUE"""),"A14 KOMPALLY")</f>
        <v>A14 KOMPALLY</v>
      </c>
      <c r="D20" s="113">
        <f>IFERROR(__xludf.DUMMYFUNCTION("""COMPUTED_VALUE"""),115423.0)</f>
        <v>115423</v>
      </c>
      <c r="E20" s="113">
        <f>IFERROR(__xludf.DUMMYFUNCTION("""COMPUTED_VALUE"""),34975.0)</f>
        <v>34975</v>
      </c>
      <c r="F20" s="113">
        <f>IFERROR(__xludf.DUMMYFUNCTION("""COMPUTED_VALUE"""),23986.0)</f>
        <v>23986</v>
      </c>
      <c r="G20" s="113">
        <f>IFERROR(__xludf.DUMMYFUNCTION("""COMPUTED_VALUE"""),0.0)</f>
        <v>0</v>
      </c>
      <c r="H20" s="113">
        <f>IFERROR(__xludf.DUMMYFUNCTION("""COMPUTED_VALUE"""),0.0)</f>
        <v>0</v>
      </c>
      <c r="I20" s="113">
        <f>IFERROR(__xludf.DUMMYFUNCTION("""COMPUTED_VALUE"""),62134.0)</f>
        <v>62134</v>
      </c>
      <c r="J20" s="113">
        <f>IFERROR(__xludf.DUMMYFUNCTION("""COMPUTED_VALUE"""),62351.0)</f>
        <v>62351</v>
      </c>
      <c r="K20" s="113">
        <f>IFERROR(__xludf.DUMMYFUNCTION("""COMPUTED_VALUE"""),0.0)</f>
        <v>0</v>
      </c>
      <c r="L20" s="113">
        <f>IFERROR(__xludf.DUMMYFUNCTION("""COMPUTED_VALUE"""),350.0)</f>
        <v>350</v>
      </c>
      <c r="M20" s="119">
        <f>IFERROR(__xludf.DUMMYFUNCTION("""COMPUTED_VALUE"""),217.0)</f>
        <v>217</v>
      </c>
    </row>
    <row r="21">
      <c r="A21" s="147">
        <f>IFERROR(__xludf.DUMMYFUNCTION("""COMPUTED_VALUE"""),45677.93881930556)</f>
        <v>45677.93882</v>
      </c>
      <c r="B21" s="146">
        <f>IFERROR(__xludf.DUMMYFUNCTION("""COMPUTED_VALUE"""),45677.0)</f>
        <v>45677</v>
      </c>
      <c r="C21" s="114" t="str">
        <f>IFERROR(__xludf.DUMMYFUNCTION("""COMPUTED_VALUE"""),"A14 KOMPALLY")</f>
        <v>A14 KOMPALLY</v>
      </c>
      <c r="D21" s="113">
        <f>IFERROR(__xludf.DUMMYFUNCTION("""COMPUTED_VALUE"""),129488.0)</f>
        <v>129488</v>
      </c>
      <c r="E21" s="113">
        <f>IFERROR(__xludf.DUMMYFUNCTION("""COMPUTED_VALUE"""),70145.0)</f>
        <v>70145</v>
      </c>
      <c r="F21" s="113">
        <f>IFERROR(__xludf.DUMMYFUNCTION("""COMPUTED_VALUE"""),45124.0)</f>
        <v>45124</v>
      </c>
      <c r="G21" s="113">
        <f>IFERROR(__xludf.DUMMYFUNCTION("""COMPUTED_VALUE"""),0.0)</f>
        <v>0</v>
      </c>
      <c r="H21" s="113">
        <f>IFERROR(__xludf.DUMMYFUNCTION("""COMPUTED_VALUE"""),0.0)</f>
        <v>0</v>
      </c>
      <c r="I21" s="113">
        <f>IFERROR(__xludf.DUMMYFUNCTION("""COMPUTED_VALUE"""),62352.0)</f>
        <v>62352</v>
      </c>
      <c r="J21" s="113">
        <f>IFERROR(__xludf.DUMMYFUNCTION("""COMPUTED_VALUE"""),62578.0)</f>
        <v>62578</v>
      </c>
      <c r="K21" s="113">
        <f>IFERROR(__xludf.DUMMYFUNCTION("""COMPUTED_VALUE"""),75000.0)</f>
        <v>75000</v>
      </c>
      <c r="L21" s="113">
        <f>IFERROR(__xludf.DUMMYFUNCTION("""COMPUTED_VALUE"""),370.0)</f>
        <v>370</v>
      </c>
      <c r="M21" s="119">
        <f>IFERROR(__xludf.DUMMYFUNCTION("""COMPUTED_VALUE"""),226.0)</f>
        <v>226</v>
      </c>
    </row>
    <row r="22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</row>
    <row r="23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</row>
    <row r="24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</row>
    <row r="2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</row>
    <row r="26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</row>
    <row r="27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</row>
    <row r="28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</row>
    <row r="29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</row>
    <row r="30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</row>
    <row r="3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</row>
    <row r="32">
      <c r="A32" s="148" t="s">
        <v>40</v>
      </c>
      <c r="D32" s="149">
        <f t="shared" ref="D32:M32" si="1">sum(D2:D31)</f>
        <v>2654166</v>
      </c>
      <c r="E32" s="149">
        <f t="shared" si="1"/>
        <v>1445926</v>
      </c>
      <c r="F32" s="149">
        <f t="shared" si="1"/>
        <v>536611</v>
      </c>
      <c r="G32" s="149">
        <f t="shared" si="1"/>
        <v>2597</v>
      </c>
      <c r="H32" s="149">
        <f t="shared" si="1"/>
        <v>146</v>
      </c>
      <c r="I32" s="149">
        <f t="shared" si="1"/>
        <v>1207740</v>
      </c>
      <c r="J32" s="149">
        <f t="shared" si="1"/>
        <v>1211982</v>
      </c>
      <c r="K32" s="149">
        <f t="shared" si="1"/>
        <v>411000</v>
      </c>
      <c r="L32" s="149">
        <f t="shared" si="1"/>
        <v>10470</v>
      </c>
      <c r="M32" s="149">
        <f t="shared" si="1"/>
        <v>4242</v>
      </c>
    </row>
    <row r="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</row>
    <row r="34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</row>
    <row r="35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</row>
    <row r="36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</row>
    <row r="37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</row>
    <row r="38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</row>
    <row r="39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</row>
    <row r="40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</row>
    <row r="4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</row>
    <row r="42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</row>
    <row r="43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</row>
    <row r="44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</row>
    <row r="4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</row>
    <row r="46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</row>
    <row r="47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</row>
    <row r="48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</row>
    <row r="49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</row>
    <row r="50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</row>
    <row r="5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</row>
    <row r="52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</row>
    <row r="53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</row>
    <row r="54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</row>
    <row r="5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</row>
    <row r="56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</row>
    <row r="57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</row>
    <row r="58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</row>
    <row r="59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</row>
    <row r="60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</row>
    <row r="6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</row>
    <row r="62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</row>
    <row r="63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</row>
    <row r="64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</row>
    <row r="65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</row>
    <row r="66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</row>
    <row r="67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</row>
    <row r="68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</row>
    <row r="69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</row>
    <row r="70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</row>
    <row r="7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</row>
    <row r="72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</row>
    <row r="73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</row>
    <row r="74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</row>
    <row r="7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</row>
    <row r="76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</row>
    <row r="77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</row>
    <row r="78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</row>
    <row r="79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</row>
    <row r="80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</row>
    <row r="8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</row>
    <row r="82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</row>
    <row r="83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</row>
    <row r="84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</row>
    <row r="85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</row>
    <row r="86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</row>
    <row r="87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</row>
    <row r="88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</row>
    <row r="89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</row>
    <row r="90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</row>
    <row r="9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</row>
    <row r="92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</row>
    <row r="93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</row>
    <row r="9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</row>
    <row r="95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</row>
    <row r="96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</row>
    <row r="97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</row>
    <row r="98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</row>
    <row r="99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</row>
    <row r="100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</row>
    <row r="10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</row>
    <row r="102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</row>
    <row r="103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</row>
    <row r="104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</row>
    <row r="105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</row>
    <row r="106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</row>
    <row r="107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</row>
    <row r="108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</row>
    <row r="109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</row>
    <row r="110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</row>
    <row r="11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</row>
    <row r="112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</row>
    <row r="113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</row>
    <row r="114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</row>
    <row r="115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</row>
    <row r="116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</row>
    <row r="117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</row>
    <row r="118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</row>
    <row r="119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</row>
    <row r="120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</row>
    <row r="12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</row>
    <row r="122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</row>
    <row r="123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</row>
    <row r="124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</row>
    <row r="125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</row>
    <row r="126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</row>
    <row r="127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</row>
    <row r="128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</row>
    <row r="129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</row>
    <row r="130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</row>
    <row r="13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</row>
    <row r="132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</row>
    <row r="133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</row>
    <row r="134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</row>
    <row r="135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</row>
    <row r="136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</row>
    <row r="137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</row>
    <row r="138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</row>
    <row r="139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</row>
    <row r="140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</row>
    <row r="14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</row>
    <row r="142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</row>
    <row r="143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</row>
    <row r="144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</row>
    <row r="145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</row>
    <row r="146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</row>
    <row r="147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</row>
    <row r="148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</row>
    <row r="149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</row>
    <row r="150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</row>
    <row r="15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</row>
    <row r="152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</row>
    <row r="153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</row>
    <row r="154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</row>
    <row r="155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</row>
    <row r="156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</row>
    <row r="157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</row>
    <row r="158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</row>
    <row r="159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</row>
    <row r="160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</row>
    <row r="16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</row>
    <row r="162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</row>
    <row r="163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</row>
    <row r="164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</row>
    <row r="165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</row>
    <row r="166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</row>
    <row r="167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</row>
    <row r="168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</row>
    <row r="169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</row>
    <row r="170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</row>
    <row r="17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</row>
    <row r="172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</row>
    <row r="173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</row>
    <row r="174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</row>
    <row r="175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</row>
    <row r="176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</row>
    <row r="177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</row>
    <row r="178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</row>
    <row r="179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</row>
    <row r="180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</row>
    <row r="18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</row>
    <row r="182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</row>
    <row r="183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</row>
    <row r="184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</row>
    <row r="185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</row>
    <row r="186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</row>
    <row r="187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</row>
    <row r="188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</row>
    <row r="189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</row>
    <row r="190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</row>
    <row r="19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</row>
    <row r="192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</row>
    <row r="193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</row>
    <row r="194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</row>
    <row r="195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</row>
    <row r="196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</row>
    <row r="197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</row>
    <row r="198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</row>
    <row r="199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</row>
    <row r="200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</row>
    <row r="20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</row>
    <row r="202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</row>
    <row r="203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</row>
    <row r="204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</row>
    <row r="20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</row>
    <row r="206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</row>
    <row r="207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</row>
    <row r="208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</row>
    <row r="209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</row>
    <row r="210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</row>
    <row r="21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</row>
    <row r="212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</row>
    <row r="213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</row>
    <row r="214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</row>
    <row r="215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</row>
    <row r="216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</row>
    <row r="217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</row>
    <row r="218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</row>
    <row r="219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</row>
    <row r="220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</row>
    <row r="22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</row>
    <row r="222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</row>
    <row r="223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</row>
    <row r="224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</row>
    <row r="225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</row>
    <row r="226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</row>
    <row r="227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</row>
    <row r="228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</row>
    <row r="229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</row>
    <row r="230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</row>
    <row r="23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</row>
    <row r="232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</row>
    <row r="233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</row>
    <row r="234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</row>
    <row r="235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</row>
    <row r="236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</row>
    <row r="237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</row>
    <row r="238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</row>
    <row r="239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</row>
    <row r="240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</row>
    <row r="24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</row>
    <row r="242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</row>
    <row r="243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</row>
    <row r="244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</row>
    <row r="245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</row>
    <row r="246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</row>
    <row r="247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</row>
    <row r="248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</row>
    <row r="249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</row>
    <row r="250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</row>
    <row r="25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</row>
    <row r="252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</row>
    <row r="253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</row>
    <row r="254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</row>
    <row r="255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</row>
    <row r="256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</row>
    <row r="257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</row>
    <row r="258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</row>
    <row r="259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</row>
    <row r="260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</row>
    <row r="26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</row>
    <row r="262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</row>
    <row r="263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</row>
    <row r="264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</row>
    <row r="265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</row>
    <row r="266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</row>
    <row r="267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</row>
    <row r="268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</row>
    <row r="269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</row>
    <row r="270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</row>
    <row r="27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</row>
    <row r="272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</row>
    <row r="273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</row>
    <row r="274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</row>
    <row r="275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</row>
    <row r="276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</row>
    <row r="277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</row>
    <row r="278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</row>
    <row r="279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</row>
    <row r="280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</row>
    <row r="28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</row>
    <row r="282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</row>
    <row r="283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</row>
    <row r="284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</row>
    <row r="285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</row>
    <row r="286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</row>
    <row r="287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</row>
    <row r="288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</row>
    <row r="289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</row>
    <row r="290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</row>
    <row r="29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</row>
    <row r="292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</row>
    <row r="293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</row>
    <row r="294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</row>
    <row r="295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</row>
    <row r="296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</row>
    <row r="297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</row>
    <row r="298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</row>
    <row r="299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</row>
    <row r="300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</row>
    <row r="30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</row>
    <row r="302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</row>
    <row r="303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</row>
    <row r="304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</row>
    <row r="305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</row>
    <row r="306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</row>
    <row r="307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</row>
    <row r="308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</row>
    <row r="309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</row>
    <row r="310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</row>
    <row r="31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</row>
    <row r="312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</row>
    <row r="313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</row>
    <row r="314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</row>
    <row r="315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</row>
    <row r="316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</row>
    <row r="317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</row>
    <row r="318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</row>
    <row r="319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</row>
    <row r="320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</row>
    <row r="32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</row>
    <row r="32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</row>
    <row r="323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</row>
    <row r="324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</row>
    <row r="325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</row>
    <row r="326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</row>
    <row r="327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</row>
    <row r="328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</row>
    <row r="329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</row>
    <row r="330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</row>
    <row r="33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</row>
    <row r="332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</row>
    <row r="333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</row>
    <row r="334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</row>
    <row r="335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</row>
    <row r="336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</row>
    <row r="337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</row>
    <row r="338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</row>
    <row r="339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</row>
    <row r="340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</row>
    <row r="34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</row>
    <row r="342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</row>
    <row r="343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</row>
    <row r="344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</row>
    <row r="345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</row>
    <row r="346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</row>
    <row r="347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</row>
    <row r="348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</row>
    <row r="349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</row>
    <row r="350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</row>
    <row r="35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</row>
    <row r="352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</row>
    <row r="353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</row>
    <row r="354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</row>
    <row r="355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</row>
    <row r="356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</row>
    <row r="357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</row>
    <row r="358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</row>
    <row r="359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</row>
    <row r="360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</row>
    <row r="36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</row>
    <row r="362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</row>
    <row r="363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</row>
    <row r="364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</row>
    <row r="365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</row>
    <row r="366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</row>
    <row r="367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</row>
    <row r="368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</row>
    <row r="369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</row>
    <row r="370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</row>
    <row r="37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</row>
    <row r="372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</row>
    <row r="373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</row>
    <row r="374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</row>
    <row r="375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</row>
    <row r="376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</row>
    <row r="377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</row>
    <row r="378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</row>
    <row r="379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</row>
    <row r="380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</row>
    <row r="38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</row>
    <row r="382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</row>
    <row r="383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</row>
    <row r="384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</row>
    <row r="385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</row>
    <row r="386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</row>
    <row r="387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</row>
    <row r="388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</row>
    <row r="389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</row>
    <row r="390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</row>
    <row r="39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</row>
    <row r="392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</row>
    <row r="393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</row>
    <row r="394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</row>
    <row r="395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</row>
    <row r="396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</row>
    <row r="397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</row>
    <row r="398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</row>
    <row r="399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</row>
    <row r="400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</row>
    <row r="40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</row>
    <row r="402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</row>
    <row r="403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</row>
    <row r="404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</row>
    <row r="405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</row>
    <row r="406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</row>
    <row r="407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</row>
    <row r="408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</row>
    <row r="409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</row>
    <row r="410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</row>
    <row r="41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</row>
    <row r="412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</row>
    <row r="413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</row>
    <row r="414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</row>
    <row r="415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</row>
    <row r="416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</row>
    <row r="417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</row>
    <row r="418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</row>
    <row r="419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</row>
    <row r="420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</row>
    <row r="42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</row>
    <row r="422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</row>
    <row r="423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</row>
    <row r="424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</row>
    <row r="425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</row>
    <row r="426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</row>
    <row r="427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</row>
    <row r="428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</row>
    <row r="429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</row>
    <row r="430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</row>
    <row r="43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</row>
    <row r="432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</row>
    <row r="433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</row>
    <row r="434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</row>
    <row r="435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</row>
    <row r="436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</row>
    <row r="437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</row>
    <row r="438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</row>
    <row r="439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</row>
    <row r="440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</row>
    <row r="44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</row>
    <row r="442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</row>
    <row r="443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</row>
    <row r="444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</row>
    <row r="445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</row>
    <row r="446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</row>
    <row r="447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</row>
    <row r="448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</row>
    <row r="449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</row>
    <row r="450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</row>
    <row r="45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</row>
    <row r="452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</row>
    <row r="453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</row>
    <row r="454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</row>
    <row r="455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</row>
    <row r="456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</row>
    <row r="457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</row>
    <row r="458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</row>
    <row r="459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</row>
    <row r="460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</row>
    <row r="46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</row>
    <row r="462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</row>
    <row r="463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</row>
    <row r="464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</row>
    <row r="465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</row>
    <row r="466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</row>
    <row r="467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</row>
    <row r="468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</row>
    <row r="469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</row>
    <row r="470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</row>
    <row r="47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</row>
    <row r="472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</row>
    <row r="473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</row>
    <row r="474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</row>
    <row r="475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</row>
    <row r="476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</row>
    <row r="477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</row>
    <row r="478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</row>
    <row r="479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</row>
    <row r="480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</row>
    <row r="48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</row>
    <row r="482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</row>
    <row r="483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</row>
    <row r="484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</row>
    <row r="485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</row>
    <row r="486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</row>
    <row r="487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</row>
    <row r="488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</row>
    <row r="489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</row>
    <row r="490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</row>
    <row r="49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</row>
    <row r="492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</row>
    <row r="493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</row>
    <row r="494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</row>
    <row r="495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</row>
    <row r="496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</row>
    <row r="497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</row>
    <row r="498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</row>
    <row r="499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</row>
    <row r="500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</row>
    <row r="50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</row>
    <row r="502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</row>
    <row r="503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</row>
    <row r="504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</row>
    <row r="505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</row>
    <row r="506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</row>
    <row r="507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</row>
    <row r="508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</row>
    <row r="509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</row>
    <row r="510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</row>
    <row r="51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</row>
    <row r="512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</row>
    <row r="513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</row>
    <row r="514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</row>
    <row r="515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</row>
    <row r="516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</row>
    <row r="517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</row>
    <row r="518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</row>
    <row r="519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</row>
    <row r="520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</row>
    <row r="52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</row>
    <row r="522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</row>
    <row r="523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</row>
    <row r="524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</row>
    <row r="525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</row>
    <row r="526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</row>
    <row r="527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</row>
    <row r="528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</row>
    <row r="529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</row>
    <row r="530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</row>
    <row r="53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</row>
    <row r="532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</row>
    <row r="533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</row>
    <row r="534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</row>
    <row r="535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</row>
    <row r="536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</row>
    <row r="537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</row>
    <row r="538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</row>
    <row r="539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</row>
    <row r="540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</row>
    <row r="54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</row>
    <row r="542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</row>
    <row r="543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</row>
    <row r="544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</row>
    <row r="545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</row>
    <row r="546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</row>
    <row r="547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</row>
    <row r="548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</row>
    <row r="549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</row>
    <row r="550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</row>
    <row r="55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</row>
    <row r="552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</row>
    <row r="553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</row>
    <row r="554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</row>
    <row r="555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</row>
    <row r="556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</row>
    <row r="557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</row>
    <row r="558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</row>
    <row r="559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</row>
    <row r="560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</row>
    <row r="56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</row>
    <row r="562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</row>
    <row r="563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</row>
    <row r="564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</row>
    <row r="565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</row>
    <row r="566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</row>
    <row r="567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</row>
    <row r="568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</row>
    <row r="569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</row>
    <row r="570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</row>
    <row r="57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</row>
    <row r="572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</row>
    <row r="573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</row>
    <row r="574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</row>
    <row r="575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</row>
    <row r="576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</row>
    <row r="577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</row>
    <row r="578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</row>
    <row r="579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</row>
    <row r="580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</row>
    <row r="58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</row>
    <row r="582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</row>
    <row r="583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</row>
    <row r="584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</row>
    <row r="585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</row>
    <row r="586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</row>
    <row r="587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</row>
    <row r="588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</row>
    <row r="589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</row>
    <row r="590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</row>
    <row r="59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</row>
    <row r="592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</row>
    <row r="593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</row>
    <row r="594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</row>
    <row r="595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</row>
    <row r="596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</row>
    <row r="597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</row>
    <row r="598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</row>
    <row r="599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</row>
    <row r="600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</row>
    <row r="60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</row>
    <row r="602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</row>
    <row r="603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</row>
    <row r="604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</row>
    <row r="605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</row>
    <row r="606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</row>
    <row r="607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</row>
    <row r="608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</row>
    <row r="609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</row>
    <row r="610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</row>
    <row r="61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</row>
    <row r="612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</row>
    <row r="613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</row>
    <row r="614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</row>
    <row r="615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</row>
    <row r="616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</row>
    <row r="617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</row>
    <row r="618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</row>
    <row r="619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</row>
    <row r="620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</row>
    <row r="62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</row>
    <row r="622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</row>
    <row r="623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</row>
    <row r="624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</row>
    <row r="625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</row>
    <row r="626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</row>
    <row r="627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</row>
    <row r="628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</row>
    <row r="629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</row>
    <row r="630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</row>
    <row r="63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</row>
    <row r="632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</row>
    <row r="633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</row>
    <row r="634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</row>
    <row r="635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</row>
    <row r="636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</row>
    <row r="637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</row>
    <row r="638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</row>
    <row r="639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</row>
    <row r="640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</row>
    <row r="64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</row>
    <row r="642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</row>
    <row r="643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</row>
    <row r="644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</row>
    <row r="645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</row>
    <row r="646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</row>
    <row r="647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</row>
    <row r="648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</row>
    <row r="649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</row>
    <row r="650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</row>
    <row r="65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</row>
    <row r="652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</row>
    <row r="653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</row>
    <row r="654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</row>
    <row r="655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</row>
    <row r="656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</row>
    <row r="657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</row>
    <row r="658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</row>
    <row r="659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</row>
    <row r="660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</row>
    <row r="66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</row>
    <row r="66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</row>
    <row r="663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</row>
    <row r="664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</row>
    <row r="665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</row>
    <row r="666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</row>
    <row r="667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</row>
    <row r="668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</row>
    <row r="669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</row>
    <row r="670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</row>
    <row r="67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</row>
    <row r="672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</row>
    <row r="673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</row>
    <row r="674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</row>
    <row r="675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</row>
    <row r="676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</row>
    <row r="677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</row>
    <row r="678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</row>
    <row r="679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</row>
    <row r="680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</row>
    <row r="68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</row>
    <row r="682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</row>
    <row r="683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</row>
    <row r="684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</row>
    <row r="685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</row>
    <row r="686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</row>
    <row r="687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</row>
    <row r="688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</row>
    <row r="689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</row>
    <row r="690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</row>
    <row r="69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</row>
    <row r="692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</row>
    <row r="693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</row>
    <row r="694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</row>
    <row r="695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</row>
    <row r="696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</row>
    <row r="697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</row>
    <row r="698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</row>
    <row r="699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</row>
    <row r="700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</row>
    <row r="70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</row>
    <row r="702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</row>
    <row r="703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</row>
    <row r="704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</row>
    <row r="705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</row>
    <row r="706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</row>
    <row r="707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</row>
    <row r="708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</row>
    <row r="709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</row>
    <row r="710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</row>
    <row r="71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</row>
    <row r="712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</row>
    <row r="713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</row>
    <row r="714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</row>
    <row r="715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</row>
    <row r="716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</row>
    <row r="717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</row>
    <row r="718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</row>
    <row r="719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</row>
    <row r="720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</row>
    <row r="72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</row>
    <row r="722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</row>
    <row r="723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</row>
    <row r="724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</row>
    <row r="725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</row>
    <row r="726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</row>
    <row r="727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</row>
    <row r="728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</row>
    <row r="729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</row>
    <row r="730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</row>
    <row r="73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</row>
    <row r="732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</row>
    <row r="733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</row>
    <row r="734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</row>
    <row r="735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</row>
    <row r="736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</row>
    <row r="737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</row>
    <row r="738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</row>
    <row r="739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</row>
    <row r="740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</row>
    <row r="74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</row>
    <row r="742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</row>
    <row r="743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</row>
    <row r="744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</row>
    <row r="745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</row>
    <row r="746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</row>
    <row r="747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</row>
    <row r="748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</row>
    <row r="749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</row>
    <row r="750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</row>
    <row r="75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</row>
    <row r="752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</row>
    <row r="753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</row>
    <row r="754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</row>
    <row r="755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</row>
    <row r="756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</row>
    <row r="757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</row>
    <row r="758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</row>
    <row r="759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</row>
    <row r="760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</row>
    <row r="76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</row>
    <row r="762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</row>
    <row r="763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</row>
    <row r="764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</row>
    <row r="765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</row>
    <row r="766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</row>
    <row r="767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</row>
    <row r="768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</row>
    <row r="769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</row>
    <row r="770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</row>
    <row r="77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</row>
    <row r="772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</row>
    <row r="773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</row>
    <row r="774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</row>
    <row r="775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</row>
    <row r="776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</row>
    <row r="777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</row>
    <row r="778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</row>
    <row r="779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</row>
    <row r="780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</row>
    <row r="78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</row>
    <row r="782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</row>
    <row r="783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</row>
    <row r="784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</row>
    <row r="785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</row>
    <row r="786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</row>
    <row r="787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</row>
    <row r="788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</row>
    <row r="789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</row>
    <row r="790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</row>
    <row r="79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</row>
    <row r="792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</row>
    <row r="793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</row>
    <row r="794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</row>
    <row r="795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</row>
    <row r="796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</row>
    <row r="797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</row>
    <row r="798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</row>
    <row r="799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</row>
    <row r="800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</row>
    <row r="80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</row>
    <row r="802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</row>
    <row r="803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</row>
    <row r="804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</row>
    <row r="805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</row>
    <row r="806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</row>
    <row r="807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</row>
    <row r="808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</row>
    <row r="809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</row>
    <row r="810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</row>
    <row r="81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</row>
    <row r="812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</row>
    <row r="813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</row>
    <row r="814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</row>
    <row r="815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</row>
    <row r="816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</row>
    <row r="817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</row>
    <row r="818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</row>
    <row r="819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</row>
    <row r="820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</row>
    <row r="82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</row>
    <row r="822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</row>
    <row r="823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</row>
    <row r="824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</row>
    <row r="825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</row>
    <row r="826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</row>
    <row r="827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</row>
    <row r="828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</row>
    <row r="829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</row>
    <row r="830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</row>
    <row r="83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</row>
    <row r="832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</row>
    <row r="833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</row>
    <row r="834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</row>
    <row r="835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</row>
    <row r="836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</row>
    <row r="837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</row>
    <row r="838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</row>
    <row r="839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</row>
    <row r="840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</row>
    <row r="84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</row>
    <row r="842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</row>
    <row r="843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</row>
    <row r="844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</row>
    <row r="845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</row>
    <row r="846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</row>
    <row r="847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</row>
    <row r="848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</row>
    <row r="849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</row>
    <row r="850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</row>
    <row r="85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</row>
    <row r="852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</row>
    <row r="853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</row>
    <row r="854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</row>
    <row r="855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</row>
    <row r="856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</row>
    <row r="857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</row>
    <row r="858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</row>
    <row r="859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</row>
    <row r="860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</row>
    <row r="86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</row>
    <row r="862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</row>
    <row r="863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</row>
    <row r="864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</row>
    <row r="865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</row>
    <row r="866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</row>
    <row r="867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</row>
    <row r="868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</row>
    <row r="869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</row>
    <row r="870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</row>
    <row r="87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</row>
    <row r="872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</row>
    <row r="873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</row>
    <row r="874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</row>
    <row r="875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</row>
    <row r="876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</row>
    <row r="877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</row>
    <row r="878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</row>
    <row r="879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</row>
    <row r="880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</row>
    <row r="88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</row>
    <row r="882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</row>
    <row r="883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</row>
    <row r="884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</row>
    <row r="885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</row>
    <row r="886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</row>
    <row r="887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</row>
    <row r="888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</row>
    <row r="889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</row>
    <row r="890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</row>
    <row r="89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</row>
    <row r="892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</row>
    <row r="893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</row>
    <row r="894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</row>
    <row r="895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</row>
    <row r="896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</row>
    <row r="897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</row>
    <row r="898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</row>
    <row r="899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</row>
    <row r="900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</row>
    <row r="90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</row>
    <row r="902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</row>
    <row r="903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</row>
    <row r="904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</row>
    <row r="905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</row>
    <row r="906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</row>
    <row r="907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</row>
    <row r="908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</row>
    <row r="909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</row>
    <row r="910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</row>
    <row r="91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</row>
    <row r="912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</row>
    <row r="913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</row>
    <row r="914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</row>
    <row r="915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</row>
    <row r="916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</row>
    <row r="917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</row>
    <row r="918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</row>
    <row r="919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</row>
    <row r="920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</row>
    <row r="92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</row>
    <row r="922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</row>
    <row r="923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</row>
    <row r="924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</row>
    <row r="925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</row>
    <row r="926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</row>
    <row r="927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</row>
    <row r="928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</row>
    <row r="929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</row>
    <row r="930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</row>
    <row r="93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</row>
    <row r="932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</row>
    <row r="933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</row>
    <row r="934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</row>
    <row r="935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</row>
    <row r="936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</row>
    <row r="937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</row>
    <row r="938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</row>
    <row r="939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</row>
    <row r="940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</row>
    <row r="94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</row>
    <row r="942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</row>
    <row r="943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</row>
    <row r="944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</row>
    <row r="945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</row>
    <row r="946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</row>
    <row r="947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</row>
    <row r="948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</row>
    <row r="949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</row>
    <row r="950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</row>
    <row r="95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</row>
    <row r="952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</row>
    <row r="953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</row>
    <row r="954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</row>
    <row r="955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</row>
    <row r="956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</row>
    <row r="957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</row>
    <row r="958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</row>
    <row r="959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</row>
    <row r="960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</row>
    <row r="96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</row>
    <row r="962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</row>
    <row r="963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</row>
    <row r="964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</row>
    <row r="965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</row>
    <row r="966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</row>
    <row r="967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</row>
    <row r="968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</row>
    <row r="969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</row>
    <row r="970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</row>
    <row r="97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</row>
    <row r="972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</row>
    <row r="973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</row>
    <row r="974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</row>
    <row r="975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</row>
    <row r="976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</row>
    <row r="977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</row>
    <row r="978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</row>
    <row r="979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</row>
    <row r="980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</row>
    <row r="98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</row>
    <row r="982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</row>
    <row r="983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</row>
    <row r="984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</row>
    <row r="985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</row>
    <row r="986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</row>
    <row r="987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</row>
    <row r="988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</row>
    <row r="989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</row>
    <row r="990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</row>
    <row r="99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</row>
    <row r="992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</row>
    <row r="993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</row>
    <row r="994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</row>
    <row r="995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</row>
    <row r="996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</row>
    <row r="997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</row>
    <row r="998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</row>
    <row r="999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</row>
    <row r="1000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</row>
  </sheetData>
  <mergeCells count="2">
    <mergeCell ref="O4:Q4"/>
    <mergeCell ref="A32:C32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5"/>
    <col customWidth="1" min="7" max="7" width="16.38"/>
  </cols>
  <sheetData>
    <row r="1">
      <c r="A1" s="99" t="s">
        <v>36</v>
      </c>
      <c r="B1" s="100" t="s">
        <v>19</v>
      </c>
      <c r="C1" s="101" t="s">
        <v>1</v>
      </c>
      <c r="D1" s="101" t="s">
        <v>21</v>
      </c>
      <c r="E1" s="101" t="s">
        <v>22</v>
      </c>
      <c r="F1" s="101" t="s">
        <v>23</v>
      </c>
      <c r="G1" s="101" t="s">
        <v>24</v>
      </c>
      <c r="H1" s="101" t="s">
        <v>25</v>
      </c>
      <c r="I1" s="101" t="s">
        <v>26</v>
      </c>
      <c r="J1" s="101" t="s">
        <v>27</v>
      </c>
      <c r="K1" s="101" t="s">
        <v>37</v>
      </c>
      <c r="L1" s="101" t="s">
        <v>29</v>
      </c>
      <c r="M1" s="103" t="s">
        <v>30</v>
      </c>
      <c r="O1" s="104" t="s">
        <v>38</v>
      </c>
      <c r="P1" s="104" t="s">
        <v>15</v>
      </c>
      <c r="Q1" s="104" t="s">
        <v>6</v>
      </c>
      <c r="R1" s="105"/>
      <c r="S1" s="105"/>
      <c r="T1" s="105"/>
      <c r="U1" s="105"/>
    </row>
    <row r="2">
      <c r="A2" s="150">
        <f>IFERROR(__xludf.DUMMYFUNCTION("filter(All_Stores_Collection_Data,All_Stores_Collection_Data[Store]=""A15 GANESH TEMPLE"")"),45659.88415834491)</f>
        <v>45659.88416</v>
      </c>
      <c r="B2" s="151">
        <f>IFERROR(__xludf.DUMMYFUNCTION("""COMPUTED_VALUE"""),45658.0)</f>
        <v>45658</v>
      </c>
      <c r="C2" s="152" t="str">
        <f>IFERROR(__xludf.DUMMYFUNCTION("""COMPUTED_VALUE"""),"A15 GANESH TEMPLE")</f>
        <v>A15 GANESH TEMPLE</v>
      </c>
      <c r="D2" s="153">
        <f>IFERROR(__xludf.DUMMYFUNCTION("""COMPUTED_VALUE"""),98829.0)</f>
        <v>98829</v>
      </c>
      <c r="E2" s="153">
        <f>IFERROR(__xludf.DUMMYFUNCTION("""COMPUTED_VALUE"""),31436.0)</f>
        <v>31436</v>
      </c>
      <c r="F2" s="153">
        <f>IFERROR(__xludf.DUMMYFUNCTION("""COMPUTED_VALUE"""),41407.0)</f>
        <v>41407</v>
      </c>
      <c r="G2" s="153">
        <f>IFERROR(__xludf.DUMMYFUNCTION("""COMPUTED_VALUE"""),0.0)</f>
        <v>0</v>
      </c>
      <c r="H2" s="153">
        <f>IFERROR(__xludf.DUMMYFUNCTION("""COMPUTED_VALUE"""),2472.0)</f>
        <v>2472</v>
      </c>
      <c r="I2" s="153">
        <f>IFERROR(__xludf.DUMMYFUNCTION("""COMPUTED_VALUE"""),57945.0)</f>
        <v>57945</v>
      </c>
      <c r="J2" s="153">
        <f>IFERROR(__xludf.DUMMYFUNCTION("""COMPUTED_VALUE"""),58150.0)</f>
        <v>58150</v>
      </c>
      <c r="K2" s="153">
        <f>IFERROR(__xludf.DUMMYFUNCTION("""COMPUTED_VALUE"""),35000.0)</f>
        <v>35000</v>
      </c>
      <c r="L2" s="153">
        <f>IFERROR(__xludf.DUMMYFUNCTION("""COMPUTED_VALUE"""),200.0)</f>
        <v>200</v>
      </c>
      <c r="M2" s="154">
        <f>IFERROR(__xludf.DUMMYFUNCTION("""COMPUTED_VALUE"""),205.0)</f>
        <v>205</v>
      </c>
      <c r="N2" s="155"/>
      <c r="O2" s="113">
        <f>D32</f>
        <v>2628659</v>
      </c>
      <c r="P2" s="114">
        <f>sum(M1:M31)</f>
        <v>5397</v>
      </c>
      <c r="Q2" s="115">
        <f>(sum(D1:D31)-Sum(G1:G31))/P2</f>
        <v>481.1445247</v>
      </c>
      <c r="R2" s="114"/>
      <c r="S2" s="114"/>
      <c r="T2" s="115"/>
      <c r="U2" s="115"/>
      <c r="V2" s="155"/>
      <c r="W2" s="155"/>
      <c r="X2" s="155"/>
      <c r="Y2" s="155"/>
      <c r="Z2" s="155"/>
    </row>
    <row r="3">
      <c r="A3" s="116">
        <f>IFERROR(__xludf.DUMMYFUNCTION("""COMPUTED_VALUE"""),45659.97043035879)</f>
        <v>45659.97043</v>
      </c>
      <c r="B3" s="117">
        <f>IFERROR(__xludf.DUMMYFUNCTION("""COMPUTED_VALUE"""),45659.0)</f>
        <v>45659</v>
      </c>
      <c r="C3" s="118" t="str">
        <f>IFERROR(__xludf.DUMMYFUNCTION("""COMPUTED_VALUE"""),"A15 GANESH TEMPLE")</f>
        <v>A15 GANESH TEMPLE</v>
      </c>
      <c r="D3" s="119">
        <f>IFERROR(__xludf.DUMMYFUNCTION("""COMPUTED_VALUE"""),146409.0)</f>
        <v>146409</v>
      </c>
      <c r="E3" s="119">
        <f>IFERROR(__xludf.DUMMYFUNCTION("""COMPUTED_VALUE"""),62556.0)</f>
        <v>62556</v>
      </c>
      <c r="F3" s="119">
        <f>IFERROR(__xludf.DUMMYFUNCTION("""COMPUTED_VALUE"""),33489.0)</f>
        <v>33489</v>
      </c>
      <c r="G3" s="119">
        <f>IFERROR(__xludf.DUMMYFUNCTION("""COMPUTED_VALUE"""),0.0)</f>
        <v>0</v>
      </c>
      <c r="H3" s="119">
        <f>IFERROR(__xludf.DUMMYFUNCTION("""COMPUTED_VALUE"""),2258.0)</f>
        <v>2258</v>
      </c>
      <c r="I3" s="119">
        <f>IFERROR(__xludf.DUMMYFUNCTION("""COMPUTED_VALUE"""),58151.0)</f>
        <v>58151</v>
      </c>
      <c r="J3" s="119">
        <f>IFERROR(__xludf.DUMMYFUNCTION("""COMPUTED_VALUE"""),58394.0)</f>
        <v>58394</v>
      </c>
      <c r="K3" s="119">
        <f>IFERROR(__xludf.DUMMYFUNCTION("""COMPUTED_VALUE"""),36500.0)</f>
        <v>36500</v>
      </c>
      <c r="L3" s="119">
        <f>IFERROR(__xludf.DUMMYFUNCTION("""COMPUTED_VALUE"""),571.0)</f>
        <v>571</v>
      </c>
      <c r="M3" s="119">
        <f>IFERROR(__xludf.DUMMYFUNCTION("""COMPUTED_VALUE"""),243.0)</f>
        <v>243</v>
      </c>
    </row>
    <row r="4">
      <c r="A4" s="116">
        <f>IFERROR(__xludf.DUMMYFUNCTION("""COMPUTED_VALUE"""),45660.96591775463)</f>
        <v>45660.96592</v>
      </c>
      <c r="B4" s="117">
        <f>IFERROR(__xludf.DUMMYFUNCTION("""COMPUTED_VALUE"""),45660.0)</f>
        <v>45660</v>
      </c>
      <c r="C4" s="118" t="str">
        <f>IFERROR(__xludf.DUMMYFUNCTION("""COMPUTED_VALUE"""),"A15 GANESH TEMPLE")</f>
        <v>A15 GANESH TEMPLE</v>
      </c>
      <c r="D4" s="119">
        <f>IFERROR(__xludf.DUMMYFUNCTION("""COMPUTED_VALUE"""),150571.0)</f>
        <v>150571</v>
      </c>
      <c r="E4" s="119">
        <f>IFERROR(__xludf.DUMMYFUNCTION("""COMPUTED_VALUE"""),74327.0)</f>
        <v>74327</v>
      </c>
      <c r="F4" s="119">
        <f>IFERROR(__xludf.DUMMYFUNCTION("""COMPUTED_VALUE"""),35498.0)</f>
        <v>35498</v>
      </c>
      <c r="G4" s="119">
        <f>IFERROR(__xludf.DUMMYFUNCTION("""COMPUTED_VALUE"""),0.0)</f>
        <v>0</v>
      </c>
      <c r="H4" s="119">
        <f>IFERROR(__xludf.DUMMYFUNCTION("""COMPUTED_VALUE"""),443.0)</f>
        <v>443</v>
      </c>
      <c r="I4" s="119">
        <f>IFERROR(__xludf.DUMMYFUNCTION("""COMPUTED_VALUE"""),58395.0)</f>
        <v>58395</v>
      </c>
      <c r="J4" s="119">
        <f>IFERROR(__xludf.DUMMYFUNCTION("""COMPUTED_VALUE"""),58628.0)</f>
        <v>58628</v>
      </c>
      <c r="K4" s="119">
        <f>IFERROR(__xludf.DUMMYFUNCTION("""COMPUTED_VALUE"""),0.0)</f>
        <v>0</v>
      </c>
      <c r="L4" s="119">
        <f>IFERROR(__xludf.DUMMYFUNCTION("""COMPUTED_VALUE"""),300.0)</f>
        <v>300</v>
      </c>
      <c r="M4" s="119">
        <f>IFERROR(__xludf.DUMMYFUNCTION("""COMPUTED_VALUE"""),233.0)</f>
        <v>233</v>
      </c>
      <c r="O4" s="104" t="s">
        <v>39</v>
      </c>
    </row>
    <row r="5">
      <c r="A5" s="116">
        <f>IFERROR(__xludf.DUMMYFUNCTION("""COMPUTED_VALUE"""),45661.96225201389)</f>
        <v>45661.96225</v>
      </c>
      <c r="B5" s="117">
        <f>IFERROR(__xludf.DUMMYFUNCTION("""COMPUTED_VALUE"""),45661.0)</f>
        <v>45661</v>
      </c>
      <c r="C5" s="118" t="str">
        <f>IFERROR(__xludf.DUMMYFUNCTION("""COMPUTED_VALUE"""),"A15 GANESH TEMPLE")</f>
        <v>A15 GANESH TEMPLE</v>
      </c>
      <c r="D5" s="119">
        <f>IFERROR(__xludf.DUMMYFUNCTION("""COMPUTED_VALUE"""),137358.0)</f>
        <v>137358</v>
      </c>
      <c r="E5" s="119">
        <f>IFERROR(__xludf.DUMMYFUNCTION("""COMPUTED_VALUE"""),71807.0)</f>
        <v>71807</v>
      </c>
      <c r="F5" s="119">
        <f>IFERROR(__xludf.DUMMYFUNCTION("""COMPUTED_VALUE"""),30178.0)</f>
        <v>30178</v>
      </c>
      <c r="G5" s="119">
        <f>IFERROR(__xludf.DUMMYFUNCTION("""COMPUTED_VALUE"""),0.0)</f>
        <v>0</v>
      </c>
      <c r="H5" s="119">
        <f>IFERROR(__xludf.DUMMYFUNCTION("""COMPUTED_VALUE"""),4265.0)</f>
        <v>4265</v>
      </c>
      <c r="I5" s="119">
        <f>IFERROR(__xludf.DUMMYFUNCTION("""COMPUTED_VALUE"""),58629.0)</f>
        <v>58629</v>
      </c>
      <c r="J5" s="119">
        <f>IFERROR(__xludf.DUMMYFUNCTION("""COMPUTED_VALUE"""),58903.0)</f>
        <v>58903</v>
      </c>
      <c r="K5" s="119">
        <f>IFERROR(__xludf.DUMMYFUNCTION("""COMPUTED_VALUE"""),0.0)</f>
        <v>0</v>
      </c>
      <c r="L5" s="119">
        <f>IFERROR(__xludf.DUMMYFUNCTION("""COMPUTED_VALUE"""),90.0)</f>
        <v>90</v>
      </c>
      <c r="M5" s="119">
        <f>IFERROR(__xludf.DUMMYFUNCTION("""COMPUTED_VALUE"""),274.0)</f>
        <v>274</v>
      </c>
      <c r="O5" s="114">
        <f>SUMIF(A1:M30,Entry!B259,C1:C30)</f>
        <v>0</v>
      </c>
      <c r="P5" s="114" t="str">
        <f>VLOOKUP(Entry!B259,B:M,12,0)</f>
        <v>#REF!</v>
      </c>
      <c r="Q5" s="115" t="str">
        <f>(O5-Vlookup(Entry!B259,B:M,6,0))/P5</f>
        <v>#REF!</v>
      </c>
      <c r="R5" s="105"/>
      <c r="S5" s="105"/>
      <c r="T5" s="105"/>
      <c r="U5" s="105"/>
    </row>
    <row r="6">
      <c r="A6" s="116">
        <f>IFERROR(__xludf.DUMMYFUNCTION("""COMPUTED_VALUE"""),45662.95822763889)</f>
        <v>45662.95823</v>
      </c>
      <c r="B6" s="117">
        <f>IFERROR(__xludf.DUMMYFUNCTION("""COMPUTED_VALUE"""),45662.0)</f>
        <v>45662</v>
      </c>
      <c r="C6" s="118" t="str">
        <f>IFERROR(__xludf.DUMMYFUNCTION("""COMPUTED_VALUE"""),"A15 GANESH TEMPLE")</f>
        <v>A15 GANESH TEMPLE</v>
      </c>
      <c r="D6" s="119">
        <f>IFERROR(__xludf.DUMMYFUNCTION("""COMPUTED_VALUE"""),168336.0)</f>
        <v>168336</v>
      </c>
      <c r="E6" s="119">
        <f>IFERROR(__xludf.DUMMYFUNCTION("""COMPUTED_VALUE"""),89483.0)</f>
        <v>89483</v>
      </c>
      <c r="F6" s="119">
        <f>IFERROR(__xludf.DUMMYFUNCTION("""COMPUTED_VALUE"""),37114.0)</f>
        <v>37114</v>
      </c>
      <c r="G6" s="119">
        <f>IFERROR(__xludf.DUMMYFUNCTION("""COMPUTED_VALUE"""),7519.0)</f>
        <v>7519</v>
      </c>
      <c r="H6" s="119">
        <f>IFERROR(__xludf.DUMMYFUNCTION("""COMPUTED_VALUE"""),2281.0)</f>
        <v>2281</v>
      </c>
      <c r="I6" s="119">
        <f>IFERROR(__xludf.DUMMYFUNCTION("""COMPUTED_VALUE"""),58904.0)</f>
        <v>58904</v>
      </c>
      <c r="J6" s="119">
        <f>IFERROR(__xludf.DUMMYFUNCTION("""COMPUTED_VALUE"""),59163.0)</f>
        <v>59163</v>
      </c>
      <c r="K6" s="119">
        <f>IFERROR(__xludf.DUMMYFUNCTION("""COMPUTED_VALUE"""),0.0)</f>
        <v>0</v>
      </c>
      <c r="L6" s="119">
        <f>IFERROR(__xludf.DUMMYFUNCTION("""COMPUTED_VALUE"""),102415.0)</f>
        <v>102415</v>
      </c>
      <c r="M6" s="119">
        <f>IFERROR(__xludf.DUMMYFUNCTION("""COMPUTED_VALUE"""),259.0)</f>
        <v>259</v>
      </c>
      <c r="O6" s="114"/>
      <c r="P6" s="114"/>
      <c r="Q6" s="114"/>
      <c r="R6" s="114"/>
      <c r="S6" s="114"/>
      <c r="T6" s="115"/>
      <c r="U6" s="115"/>
    </row>
    <row r="7">
      <c r="A7" s="116">
        <f>IFERROR(__xludf.DUMMYFUNCTION("""COMPUTED_VALUE"""),45663.96747510417)</f>
        <v>45663.96748</v>
      </c>
      <c r="B7" s="117">
        <f>IFERROR(__xludf.DUMMYFUNCTION("""COMPUTED_VALUE"""),45663.0)</f>
        <v>45663</v>
      </c>
      <c r="C7" s="118" t="str">
        <f>IFERROR(__xludf.DUMMYFUNCTION("""COMPUTED_VALUE"""),"A15 GANESH TEMPLE")</f>
        <v>A15 GANESH TEMPLE</v>
      </c>
      <c r="D7" s="119">
        <f>IFERROR(__xludf.DUMMYFUNCTION("""COMPUTED_VALUE"""),155933.0)</f>
        <v>155933</v>
      </c>
      <c r="E7" s="119">
        <f>IFERROR(__xludf.DUMMYFUNCTION("""COMPUTED_VALUE"""),52887.0)</f>
        <v>52887</v>
      </c>
      <c r="F7" s="119">
        <f>IFERROR(__xludf.DUMMYFUNCTION("""COMPUTED_VALUE"""),45628.0)</f>
        <v>45628</v>
      </c>
      <c r="G7" s="119">
        <f>IFERROR(__xludf.DUMMYFUNCTION("""COMPUTED_VALUE"""),0.0)</f>
        <v>0</v>
      </c>
      <c r="H7" s="119">
        <f>IFERROR(__xludf.DUMMYFUNCTION("""COMPUTED_VALUE"""),1125.0)</f>
        <v>1125</v>
      </c>
      <c r="I7" s="119">
        <f>IFERROR(__xludf.DUMMYFUNCTION("""COMPUTED_VALUE"""),59164.0)</f>
        <v>59164</v>
      </c>
      <c r="J7" s="119">
        <f>IFERROR(__xludf.DUMMYFUNCTION("""COMPUTED_VALUE"""),59434.0)</f>
        <v>59434</v>
      </c>
      <c r="K7" s="119">
        <f>IFERROR(__xludf.DUMMYFUNCTION("""COMPUTED_VALUE"""),0.0)</f>
        <v>0</v>
      </c>
      <c r="L7" s="119">
        <f>IFERROR(__xludf.DUMMYFUNCTION("""COMPUTED_VALUE"""),71867.0)</f>
        <v>71867</v>
      </c>
      <c r="M7" s="119">
        <f>IFERROR(__xludf.DUMMYFUNCTION("""COMPUTED_VALUE"""),270.0)</f>
        <v>270</v>
      </c>
    </row>
    <row r="8">
      <c r="A8" s="116">
        <f>IFERROR(__xludf.DUMMYFUNCTION("""COMPUTED_VALUE"""),45664.969514641205)</f>
        <v>45664.96951</v>
      </c>
      <c r="B8" s="117">
        <f>IFERROR(__xludf.DUMMYFUNCTION("""COMPUTED_VALUE"""),45664.0)</f>
        <v>45664</v>
      </c>
      <c r="C8" s="118" t="str">
        <f>IFERROR(__xludf.DUMMYFUNCTION("""COMPUTED_VALUE"""),"A15 GANESH TEMPLE")</f>
        <v>A15 GANESH TEMPLE</v>
      </c>
      <c r="D8" s="119">
        <f>IFERROR(__xludf.DUMMYFUNCTION("""COMPUTED_VALUE"""),139465.0)</f>
        <v>139465</v>
      </c>
      <c r="E8" s="119">
        <f>IFERROR(__xludf.DUMMYFUNCTION("""COMPUTED_VALUE"""),78321.0)</f>
        <v>78321</v>
      </c>
      <c r="F8" s="119">
        <f>IFERROR(__xludf.DUMMYFUNCTION("""COMPUTED_VALUE"""),34048.0)</f>
        <v>34048</v>
      </c>
      <c r="G8" s="119">
        <f>IFERROR(__xludf.DUMMYFUNCTION("""COMPUTED_VALUE"""),0.0)</f>
        <v>0</v>
      </c>
      <c r="H8" s="119">
        <f>IFERROR(__xludf.DUMMYFUNCTION("""COMPUTED_VALUE"""),2073.0)</f>
        <v>2073</v>
      </c>
      <c r="I8" s="119">
        <f>IFERROR(__xludf.DUMMYFUNCTION("""COMPUTED_VALUE"""),59435.0)</f>
        <v>59435</v>
      </c>
      <c r="J8" s="119">
        <f>IFERROR(__xludf.DUMMYFUNCTION("""COMPUTED_VALUE"""),59706.0)</f>
        <v>59706</v>
      </c>
      <c r="K8" s="119">
        <f>IFERROR(__xludf.DUMMYFUNCTION("""COMPUTED_VALUE"""),0.0)</f>
        <v>0</v>
      </c>
      <c r="L8" s="119">
        <f>IFERROR(__xludf.DUMMYFUNCTION("""COMPUTED_VALUE"""),54521.0)</f>
        <v>54521</v>
      </c>
      <c r="M8" s="119">
        <f>IFERROR(__xludf.DUMMYFUNCTION("""COMPUTED_VALUE"""),271.0)</f>
        <v>271</v>
      </c>
    </row>
    <row r="9">
      <c r="A9" s="116">
        <f>IFERROR(__xludf.DUMMYFUNCTION("""COMPUTED_VALUE"""),45665.96544054398)</f>
        <v>45665.96544</v>
      </c>
      <c r="B9" s="117">
        <f>IFERROR(__xludf.DUMMYFUNCTION("""COMPUTED_VALUE"""),45665.0)</f>
        <v>45665</v>
      </c>
      <c r="C9" s="118" t="str">
        <f>IFERROR(__xludf.DUMMYFUNCTION("""COMPUTED_VALUE"""),"A15 GANESH TEMPLE")</f>
        <v>A15 GANESH TEMPLE</v>
      </c>
      <c r="D9" s="119">
        <f>IFERROR(__xludf.DUMMYFUNCTION("""COMPUTED_VALUE"""),121739.0)</f>
        <v>121739</v>
      </c>
      <c r="E9" s="119">
        <f>IFERROR(__xludf.DUMMYFUNCTION("""COMPUTED_VALUE"""),50475.0)</f>
        <v>50475</v>
      </c>
      <c r="F9" s="119">
        <f>IFERROR(__xludf.DUMMYFUNCTION("""COMPUTED_VALUE"""),30095.0)</f>
        <v>30095</v>
      </c>
      <c r="G9" s="119">
        <f>IFERROR(__xludf.DUMMYFUNCTION("""COMPUTED_VALUE"""),0.0)</f>
        <v>0</v>
      </c>
      <c r="H9" s="119">
        <f>IFERROR(__xludf.DUMMYFUNCTION("""COMPUTED_VALUE"""),1924.0)</f>
        <v>1924</v>
      </c>
      <c r="I9" s="119">
        <f>IFERROR(__xludf.DUMMYFUNCTION("""COMPUTED_VALUE"""),59707.0)</f>
        <v>59707</v>
      </c>
      <c r="J9" s="119">
        <f>IFERROR(__xludf.DUMMYFUNCTION("""COMPUTED_VALUE"""),59972.0)</f>
        <v>59972</v>
      </c>
      <c r="K9" s="119">
        <f>IFERROR(__xludf.DUMMYFUNCTION("""COMPUTED_VALUE"""),0.0)</f>
        <v>0</v>
      </c>
      <c r="L9" s="119">
        <f>IFERROR(__xludf.DUMMYFUNCTION("""COMPUTED_VALUE"""),980.0)</f>
        <v>980</v>
      </c>
      <c r="M9" s="119">
        <f>IFERROR(__xludf.DUMMYFUNCTION("""COMPUTED_VALUE"""),265.0)</f>
        <v>265</v>
      </c>
    </row>
    <row r="10">
      <c r="A10" s="116">
        <f>IFERROR(__xludf.DUMMYFUNCTION("""COMPUTED_VALUE"""),45666.96288549768)</f>
        <v>45666.96289</v>
      </c>
      <c r="B10" s="117">
        <f>IFERROR(__xludf.DUMMYFUNCTION("""COMPUTED_VALUE"""),45666.0)</f>
        <v>45666</v>
      </c>
      <c r="C10" s="118" t="str">
        <f>IFERROR(__xludf.DUMMYFUNCTION("""COMPUTED_VALUE"""),"A15 GANESH TEMPLE")</f>
        <v>A15 GANESH TEMPLE</v>
      </c>
      <c r="D10" s="119">
        <f>IFERROR(__xludf.DUMMYFUNCTION("""COMPUTED_VALUE"""),133537.0)</f>
        <v>133537</v>
      </c>
      <c r="E10" s="119">
        <f>IFERROR(__xludf.DUMMYFUNCTION("""COMPUTED_VALUE"""),63823.0)</f>
        <v>63823</v>
      </c>
      <c r="F10" s="119">
        <f>IFERROR(__xludf.DUMMYFUNCTION("""COMPUTED_VALUE"""),31134.0)</f>
        <v>31134</v>
      </c>
      <c r="G10" s="119">
        <f>IFERROR(__xludf.DUMMYFUNCTION("""COMPUTED_VALUE"""),264.0)</f>
        <v>264</v>
      </c>
      <c r="H10" s="119">
        <f>IFERROR(__xludf.DUMMYFUNCTION("""COMPUTED_VALUE"""),7336.0)</f>
        <v>7336</v>
      </c>
      <c r="I10" s="119">
        <f>IFERROR(__xludf.DUMMYFUNCTION("""COMPUTED_VALUE"""),59973.0)</f>
        <v>59973</v>
      </c>
      <c r="J10" s="119">
        <f>IFERROR(__xludf.DUMMYFUNCTION("""COMPUTED_VALUE"""),60225.0)</f>
        <v>60225</v>
      </c>
      <c r="K10" s="119">
        <f>IFERROR(__xludf.DUMMYFUNCTION("""COMPUTED_VALUE"""),50000.0)</f>
        <v>50000</v>
      </c>
      <c r="L10" s="119">
        <f>IFERROR(__xludf.DUMMYFUNCTION("""COMPUTED_VALUE"""),4695.0)</f>
        <v>4695</v>
      </c>
      <c r="M10" s="119">
        <f>IFERROR(__xludf.DUMMYFUNCTION("""COMPUTED_VALUE"""),252.0)</f>
        <v>252</v>
      </c>
    </row>
    <row r="11">
      <c r="A11" s="116">
        <f>IFERROR(__xludf.DUMMYFUNCTION("""COMPUTED_VALUE"""),45667.96123554398)</f>
        <v>45667.96124</v>
      </c>
      <c r="B11" s="117">
        <f>IFERROR(__xludf.DUMMYFUNCTION("""COMPUTED_VALUE"""),45667.0)</f>
        <v>45667</v>
      </c>
      <c r="C11" s="118" t="str">
        <f>IFERROR(__xludf.DUMMYFUNCTION("""COMPUTED_VALUE"""),"A15 GANESH TEMPLE")</f>
        <v>A15 GANESH TEMPLE</v>
      </c>
      <c r="D11" s="119">
        <f>IFERROR(__xludf.DUMMYFUNCTION("""COMPUTED_VALUE"""),117032.0)</f>
        <v>117032</v>
      </c>
      <c r="E11" s="119">
        <f>IFERROR(__xludf.DUMMYFUNCTION("""COMPUTED_VALUE"""),55016.0)</f>
        <v>55016</v>
      </c>
      <c r="F11" s="119">
        <f>IFERROR(__xludf.DUMMYFUNCTION("""COMPUTED_VALUE"""),27026.0)</f>
        <v>27026</v>
      </c>
      <c r="G11" s="119">
        <f>IFERROR(__xludf.DUMMYFUNCTION("""COMPUTED_VALUE"""),4943.0)</f>
        <v>4943</v>
      </c>
      <c r="H11" s="119">
        <f>IFERROR(__xludf.DUMMYFUNCTION("""COMPUTED_VALUE"""),4893.0)</f>
        <v>4893</v>
      </c>
      <c r="I11" s="119">
        <f>IFERROR(__xludf.DUMMYFUNCTION("""COMPUTED_VALUE"""),60226.0)</f>
        <v>60226</v>
      </c>
      <c r="J11" s="119">
        <f>IFERROR(__xludf.DUMMYFUNCTION("""COMPUTED_VALUE"""),60468.0)</f>
        <v>60468</v>
      </c>
      <c r="K11" s="119">
        <f>IFERROR(__xludf.DUMMYFUNCTION("""COMPUTED_VALUE"""),35000.0)</f>
        <v>35000</v>
      </c>
      <c r="L11" s="119">
        <f>IFERROR(__xludf.DUMMYFUNCTION("""COMPUTED_VALUE"""),1360.0)</f>
        <v>1360</v>
      </c>
      <c r="M11" s="119">
        <f>IFERROR(__xludf.DUMMYFUNCTION("""COMPUTED_VALUE"""),242.0)</f>
        <v>242</v>
      </c>
    </row>
    <row r="12">
      <c r="A12" s="116">
        <f>IFERROR(__xludf.DUMMYFUNCTION("""COMPUTED_VALUE"""),45668.95957652778)</f>
        <v>45668.95958</v>
      </c>
      <c r="B12" s="117">
        <f>IFERROR(__xludf.DUMMYFUNCTION("""COMPUTED_VALUE"""),45668.0)</f>
        <v>45668</v>
      </c>
      <c r="C12" s="118" t="str">
        <f>IFERROR(__xludf.DUMMYFUNCTION("""COMPUTED_VALUE"""),"A15 GANESH TEMPLE")</f>
        <v>A15 GANESH TEMPLE</v>
      </c>
      <c r="D12" s="119">
        <f>IFERROR(__xludf.DUMMYFUNCTION("""COMPUTED_VALUE"""),114160.0)</f>
        <v>114160</v>
      </c>
      <c r="E12" s="119">
        <f>IFERROR(__xludf.DUMMYFUNCTION("""COMPUTED_VALUE"""),65612.0)</f>
        <v>65612</v>
      </c>
      <c r="F12" s="119">
        <f>IFERROR(__xludf.DUMMYFUNCTION("""COMPUTED_VALUE"""),22365.0)</f>
        <v>22365</v>
      </c>
      <c r="G12" s="119">
        <f>IFERROR(__xludf.DUMMYFUNCTION("""COMPUTED_VALUE"""),2394.0)</f>
        <v>2394</v>
      </c>
      <c r="H12" s="119">
        <f>IFERROR(__xludf.DUMMYFUNCTION("""COMPUTED_VALUE"""),3311.0)</f>
        <v>3311</v>
      </c>
      <c r="I12" s="119">
        <f>IFERROR(__xludf.DUMMYFUNCTION("""COMPUTED_VALUE"""),60469.0)</f>
        <v>60469</v>
      </c>
      <c r="J12" s="119">
        <f>IFERROR(__xludf.DUMMYFUNCTION("""COMPUTED_VALUE"""),60729.0)</f>
        <v>60729</v>
      </c>
      <c r="K12" s="119">
        <f>IFERROR(__xludf.DUMMYFUNCTION("""COMPUTED_VALUE"""),0.0)</f>
        <v>0</v>
      </c>
      <c r="L12" s="119">
        <f>IFERROR(__xludf.DUMMYFUNCTION("""COMPUTED_VALUE"""),50.0)</f>
        <v>50</v>
      </c>
      <c r="M12" s="119">
        <f>IFERROR(__xludf.DUMMYFUNCTION("""COMPUTED_VALUE"""),260.0)</f>
        <v>260</v>
      </c>
    </row>
    <row r="13">
      <c r="A13" s="116">
        <f>IFERROR(__xludf.DUMMYFUNCTION("""COMPUTED_VALUE"""),45669.954373773144)</f>
        <v>45669.95437</v>
      </c>
      <c r="B13" s="117">
        <f>IFERROR(__xludf.DUMMYFUNCTION("""COMPUTED_VALUE"""),45669.0)</f>
        <v>45669</v>
      </c>
      <c r="C13" s="118" t="str">
        <f>IFERROR(__xludf.DUMMYFUNCTION("""COMPUTED_VALUE"""),"A15 GANESH TEMPLE")</f>
        <v>A15 GANESH TEMPLE</v>
      </c>
      <c r="D13" s="119">
        <f>IFERROR(__xludf.DUMMYFUNCTION("""COMPUTED_VALUE"""),108607.0)</f>
        <v>108607</v>
      </c>
      <c r="E13" s="119">
        <f>IFERROR(__xludf.DUMMYFUNCTION("""COMPUTED_VALUE"""),53041.0)</f>
        <v>53041</v>
      </c>
      <c r="F13" s="119">
        <f>IFERROR(__xludf.DUMMYFUNCTION("""COMPUTED_VALUE"""),32131.0)</f>
        <v>32131</v>
      </c>
      <c r="G13" s="119">
        <f>IFERROR(__xludf.DUMMYFUNCTION("""COMPUTED_VALUE"""),0.0)</f>
        <v>0</v>
      </c>
      <c r="H13" s="119">
        <f>IFERROR(__xludf.DUMMYFUNCTION("""COMPUTED_VALUE"""),4033.0)</f>
        <v>4033</v>
      </c>
      <c r="I13" s="119">
        <f>IFERROR(__xludf.DUMMYFUNCTION("""COMPUTED_VALUE"""),60730.0)</f>
        <v>60730</v>
      </c>
      <c r="J13" s="119">
        <f>IFERROR(__xludf.DUMMYFUNCTION("""COMPUTED_VALUE"""),60935.0)</f>
        <v>60935</v>
      </c>
      <c r="K13" s="119">
        <f>IFERROR(__xludf.DUMMYFUNCTION("""COMPUTED_VALUE"""),0.0)</f>
        <v>0</v>
      </c>
      <c r="L13" s="119">
        <f>IFERROR(__xludf.DUMMYFUNCTION("""COMPUTED_VALUE"""),100.0)</f>
        <v>100</v>
      </c>
      <c r="M13" s="119">
        <f>IFERROR(__xludf.DUMMYFUNCTION("""COMPUTED_VALUE"""),205.0)</f>
        <v>205</v>
      </c>
    </row>
    <row r="14">
      <c r="A14" s="116">
        <f>IFERROR(__xludf.DUMMYFUNCTION("""COMPUTED_VALUE"""),45670.95333790509)</f>
        <v>45670.95334</v>
      </c>
      <c r="B14" s="117">
        <f>IFERROR(__xludf.DUMMYFUNCTION("""COMPUTED_VALUE"""),45670.0)</f>
        <v>45670</v>
      </c>
      <c r="C14" s="118" t="str">
        <f>IFERROR(__xludf.DUMMYFUNCTION("""COMPUTED_VALUE"""),"A15 GANESH TEMPLE")</f>
        <v>A15 GANESH TEMPLE</v>
      </c>
      <c r="D14" s="119">
        <f>IFERROR(__xludf.DUMMYFUNCTION("""COMPUTED_VALUE"""),116338.0)</f>
        <v>116338</v>
      </c>
      <c r="E14" s="119">
        <f>IFERROR(__xludf.DUMMYFUNCTION("""COMPUTED_VALUE"""),57073.0)</f>
        <v>57073</v>
      </c>
      <c r="F14" s="119">
        <f>IFERROR(__xludf.DUMMYFUNCTION("""COMPUTED_VALUE"""),19307.0)</f>
        <v>19307</v>
      </c>
      <c r="G14" s="119">
        <f>IFERROR(__xludf.DUMMYFUNCTION("""COMPUTED_VALUE"""),0.0)</f>
        <v>0</v>
      </c>
      <c r="H14" s="119">
        <f>IFERROR(__xludf.DUMMYFUNCTION("""COMPUTED_VALUE"""),7555.0)</f>
        <v>7555</v>
      </c>
      <c r="I14" s="119">
        <f>IFERROR(__xludf.DUMMYFUNCTION("""COMPUTED_VALUE"""),60936.0)</f>
        <v>60936</v>
      </c>
      <c r="J14" s="119">
        <f>IFERROR(__xludf.DUMMYFUNCTION("""COMPUTED_VALUE"""),61182.0)</f>
        <v>61182</v>
      </c>
      <c r="K14" s="119">
        <f>IFERROR(__xludf.DUMMYFUNCTION("""COMPUTED_VALUE"""),95000.0)</f>
        <v>95000</v>
      </c>
      <c r="L14" s="119">
        <f>IFERROR(__xludf.DUMMYFUNCTION("""COMPUTED_VALUE"""),200.0)</f>
        <v>200</v>
      </c>
      <c r="M14" s="119">
        <f>IFERROR(__xludf.DUMMYFUNCTION("""COMPUTED_VALUE"""),246.0)</f>
        <v>246</v>
      </c>
    </row>
    <row r="15">
      <c r="A15" s="116">
        <f>IFERROR(__xludf.DUMMYFUNCTION("""COMPUTED_VALUE"""),45671.95084077546)</f>
        <v>45671.95084</v>
      </c>
      <c r="B15" s="117">
        <f>IFERROR(__xludf.DUMMYFUNCTION("""COMPUTED_VALUE"""),45671.0)</f>
        <v>45671</v>
      </c>
      <c r="C15" s="118" t="str">
        <f>IFERROR(__xludf.DUMMYFUNCTION("""COMPUTED_VALUE"""),"A15 GANESH TEMPLE")</f>
        <v>A15 GANESH TEMPLE</v>
      </c>
      <c r="D15" s="119">
        <f>IFERROR(__xludf.DUMMYFUNCTION("""COMPUTED_VALUE"""),88442.0)</f>
        <v>88442</v>
      </c>
      <c r="E15" s="119">
        <f>IFERROR(__xludf.DUMMYFUNCTION("""COMPUTED_VALUE"""),38472.07)</f>
        <v>38472.07</v>
      </c>
      <c r="F15" s="119">
        <f>IFERROR(__xludf.DUMMYFUNCTION("""COMPUTED_VALUE"""),29675.0)</f>
        <v>29675</v>
      </c>
      <c r="G15" s="119">
        <f>IFERROR(__xludf.DUMMYFUNCTION("""COMPUTED_VALUE"""),0.0)</f>
        <v>0</v>
      </c>
      <c r="H15" s="119">
        <f>IFERROR(__xludf.DUMMYFUNCTION("""COMPUTED_VALUE"""),456.0)</f>
        <v>456</v>
      </c>
      <c r="I15" s="119">
        <f>IFERROR(__xludf.DUMMYFUNCTION("""COMPUTED_VALUE"""),61183.0)</f>
        <v>61183</v>
      </c>
      <c r="J15" s="119">
        <f>IFERROR(__xludf.DUMMYFUNCTION("""COMPUTED_VALUE"""),61380.0)</f>
        <v>61380</v>
      </c>
      <c r="K15" s="119">
        <f>IFERROR(__xludf.DUMMYFUNCTION("""COMPUTED_VALUE"""),0.0)</f>
        <v>0</v>
      </c>
      <c r="L15" s="119">
        <f>IFERROR(__xludf.DUMMYFUNCTION("""COMPUTED_VALUE"""),1300.0)</f>
        <v>1300</v>
      </c>
      <c r="M15" s="119">
        <f>IFERROR(__xludf.DUMMYFUNCTION("""COMPUTED_VALUE"""),197.0)</f>
        <v>197</v>
      </c>
    </row>
    <row r="16">
      <c r="A16" s="116">
        <f>IFERROR(__xludf.DUMMYFUNCTION("""COMPUTED_VALUE"""),45672.953747141204)</f>
        <v>45672.95375</v>
      </c>
      <c r="B16" s="117">
        <f>IFERROR(__xludf.DUMMYFUNCTION("""COMPUTED_VALUE"""),45672.0)</f>
        <v>45672</v>
      </c>
      <c r="C16" s="118" t="str">
        <f>IFERROR(__xludf.DUMMYFUNCTION("""COMPUTED_VALUE"""),"A15 GANESH TEMPLE")</f>
        <v>A15 GANESH TEMPLE</v>
      </c>
      <c r="D16" s="119">
        <f>IFERROR(__xludf.DUMMYFUNCTION("""COMPUTED_VALUE"""),123040.0)</f>
        <v>123040</v>
      </c>
      <c r="E16" s="119">
        <f>IFERROR(__xludf.DUMMYFUNCTION("""COMPUTED_VALUE"""),51515.0)</f>
        <v>51515</v>
      </c>
      <c r="F16" s="119">
        <f>IFERROR(__xludf.DUMMYFUNCTION("""COMPUTED_VALUE"""),27442.0)</f>
        <v>27442</v>
      </c>
      <c r="G16" s="119">
        <f>IFERROR(__xludf.DUMMYFUNCTION("""COMPUTED_VALUE"""),1986.0)</f>
        <v>1986</v>
      </c>
      <c r="H16" s="119">
        <f>IFERROR(__xludf.DUMMYFUNCTION("""COMPUTED_VALUE"""),3301.0)</f>
        <v>3301</v>
      </c>
      <c r="I16" s="119">
        <f>IFERROR(__xludf.DUMMYFUNCTION("""COMPUTED_VALUE"""),61381.0)</f>
        <v>61381</v>
      </c>
      <c r="J16" s="119">
        <f>IFERROR(__xludf.DUMMYFUNCTION("""COMPUTED_VALUE"""),61585.0)</f>
        <v>61585</v>
      </c>
      <c r="K16" s="119">
        <f>IFERROR(__xludf.DUMMYFUNCTION("""COMPUTED_VALUE"""),50000.0)</f>
        <v>50000</v>
      </c>
      <c r="L16" s="119">
        <f>IFERROR(__xludf.DUMMYFUNCTION("""COMPUTED_VALUE"""),80.0)</f>
        <v>80</v>
      </c>
      <c r="M16" s="119">
        <f>IFERROR(__xludf.DUMMYFUNCTION("""COMPUTED_VALUE"""),204.0)</f>
        <v>204</v>
      </c>
    </row>
    <row r="17">
      <c r="A17" s="116">
        <f>IFERROR(__xludf.DUMMYFUNCTION("""COMPUTED_VALUE"""),45673.96176167824)</f>
        <v>45673.96176</v>
      </c>
      <c r="B17" s="117">
        <f>IFERROR(__xludf.DUMMYFUNCTION("""COMPUTED_VALUE"""),45673.0)</f>
        <v>45673</v>
      </c>
      <c r="C17" s="118" t="str">
        <f>IFERROR(__xludf.DUMMYFUNCTION("""COMPUTED_VALUE"""),"A15 GANESH TEMPLE")</f>
        <v>A15 GANESH TEMPLE</v>
      </c>
      <c r="D17" s="119">
        <f>IFERROR(__xludf.DUMMYFUNCTION("""COMPUTED_VALUE"""),141755.0)</f>
        <v>141755</v>
      </c>
      <c r="E17" s="119">
        <f>IFERROR(__xludf.DUMMYFUNCTION("""COMPUTED_VALUE"""),62250.0)</f>
        <v>62250</v>
      </c>
      <c r="F17" s="119">
        <f>IFERROR(__xludf.DUMMYFUNCTION("""COMPUTED_VALUE"""),42223.0)</f>
        <v>42223</v>
      </c>
      <c r="G17" s="119">
        <f>IFERROR(__xludf.DUMMYFUNCTION("""COMPUTED_VALUE"""),0.0)</f>
        <v>0</v>
      </c>
      <c r="H17" s="119">
        <f>IFERROR(__xludf.DUMMYFUNCTION("""COMPUTED_VALUE"""),13760.0)</f>
        <v>13760</v>
      </c>
      <c r="I17" s="119">
        <f>IFERROR(__xludf.DUMMYFUNCTION("""COMPUTED_VALUE"""),61586.0)</f>
        <v>61586</v>
      </c>
      <c r="J17" s="119">
        <f>IFERROR(__xludf.DUMMYFUNCTION("""COMPUTED_VALUE"""),61854.0)</f>
        <v>61854</v>
      </c>
      <c r="K17" s="119">
        <f>IFERROR(__xludf.DUMMYFUNCTION("""COMPUTED_VALUE"""),35000.0)</f>
        <v>35000</v>
      </c>
      <c r="L17" s="119">
        <f>IFERROR(__xludf.DUMMYFUNCTION("""COMPUTED_VALUE"""),240.0)</f>
        <v>240</v>
      </c>
      <c r="M17" s="119">
        <f>IFERROR(__xludf.DUMMYFUNCTION("""COMPUTED_VALUE"""),268.0)</f>
        <v>268</v>
      </c>
    </row>
    <row r="18">
      <c r="A18" s="116">
        <f>IFERROR(__xludf.DUMMYFUNCTION("""COMPUTED_VALUE"""),45674.95637126158)</f>
        <v>45674.95637</v>
      </c>
      <c r="B18" s="117">
        <f>IFERROR(__xludf.DUMMYFUNCTION("""COMPUTED_VALUE"""),45674.0)</f>
        <v>45674</v>
      </c>
      <c r="C18" s="118" t="str">
        <f>IFERROR(__xludf.DUMMYFUNCTION("""COMPUTED_VALUE"""),"A15 GANESH TEMPLE")</f>
        <v>A15 GANESH TEMPLE</v>
      </c>
      <c r="D18" s="119">
        <f>IFERROR(__xludf.DUMMYFUNCTION("""COMPUTED_VALUE"""),107216.0)</f>
        <v>107216</v>
      </c>
      <c r="E18" s="119">
        <f>IFERROR(__xludf.DUMMYFUNCTION("""COMPUTED_VALUE"""),54347.0)</f>
        <v>54347</v>
      </c>
      <c r="F18" s="119">
        <f>IFERROR(__xludf.DUMMYFUNCTION("""COMPUTED_VALUE"""),13833.0)</f>
        <v>13833</v>
      </c>
      <c r="G18" s="119">
        <f>IFERROR(__xludf.DUMMYFUNCTION("""COMPUTED_VALUE"""),0.0)</f>
        <v>0</v>
      </c>
      <c r="H18" s="119">
        <f>IFERROR(__xludf.DUMMYFUNCTION("""COMPUTED_VALUE"""),4410.0)</f>
        <v>4410</v>
      </c>
      <c r="I18" s="119">
        <f>IFERROR(__xludf.DUMMYFUNCTION("""COMPUTED_VALUE"""),61855.0)</f>
        <v>61855</v>
      </c>
      <c r="J18" s="119">
        <f>IFERROR(__xludf.DUMMYFUNCTION("""COMPUTED_VALUE"""),62087.0)</f>
        <v>62087</v>
      </c>
      <c r="K18" s="119">
        <f>IFERROR(__xludf.DUMMYFUNCTION("""COMPUTED_VALUE"""),35000.0)</f>
        <v>35000</v>
      </c>
      <c r="L18" s="119">
        <f>IFERROR(__xludf.DUMMYFUNCTION("""COMPUTED_VALUE"""),340.0)</f>
        <v>340</v>
      </c>
      <c r="M18" s="119">
        <f>IFERROR(__xludf.DUMMYFUNCTION("""COMPUTED_VALUE"""),232.0)</f>
        <v>232</v>
      </c>
    </row>
    <row r="19">
      <c r="A19" s="116">
        <f>IFERROR(__xludf.DUMMYFUNCTION("""COMPUTED_VALUE"""),45675.96005944445)</f>
        <v>45675.96006</v>
      </c>
      <c r="B19" s="117">
        <f>IFERROR(__xludf.DUMMYFUNCTION("""COMPUTED_VALUE"""),45675.0)</f>
        <v>45675</v>
      </c>
      <c r="C19" s="118" t="str">
        <f>IFERROR(__xludf.DUMMYFUNCTION("""COMPUTED_VALUE"""),"A15 GANESH TEMPLE")</f>
        <v>A15 GANESH TEMPLE</v>
      </c>
      <c r="D19" s="119">
        <f>IFERROR(__xludf.DUMMYFUNCTION("""COMPUTED_VALUE"""),123494.0)</f>
        <v>123494</v>
      </c>
      <c r="E19" s="119">
        <f>IFERROR(__xludf.DUMMYFUNCTION("""COMPUTED_VALUE"""),66366.0)</f>
        <v>66366</v>
      </c>
      <c r="F19" s="119">
        <f>IFERROR(__xludf.DUMMYFUNCTION("""COMPUTED_VALUE"""),22446.0)</f>
        <v>22446</v>
      </c>
      <c r="G19" s="119">
        <f>IFERROR(__xludf.DUMMYFUNCTION("""COMPUTED_VALUE"""),0.0)</f>
        <v>0</v>
      </c>
      <c r="H19" s="119">
        <f>IFERROR(__xludf.DUMMYFUNCTION("""COMPUTED_VALUE"""),3547.0)</f>
        <v>3547</v>
      </c>
      <c r="I19" s="119">
        <f>IFERROR(__xludf.DUMMYFUNCTION("""COMPUTED_VALUE"""),62088.0)</f>
        <v>62088</v>
      </c>
      <c r="J19" s="119">
        <f>IFERROR(__xludf.DUMMYFUNCTION("""COMPUTED_VALUE"""),62357.0)</f>
        <v>62357</v>
      </c>
      <c r="K19" s="119">
        <f>IFERROR(__xludf.DUMMYFUNCTION("""COMPUTED_VALUE"""),30000.0)</f>
        <v>30000</v>
      </c>
      <c r="L19" s="119">
        <f>IFERROR(__xludf.DUMMYFUNCTION("""COMPUTED_VALUE"""),70.0)</f>
        <v>70</v>
      </c>
      <c r="M19" s="119">
        <f>IFERROR(__xludf.DUMMYFUNCTION("""COMPUTED_VALUE"""),269.0)</f>
        <v>269</v>
      </c>
    </row>
    <row r="20">
      <c r="A20" s="116">
        <f>IFERROR(__xludf.DUMMYFUNCTION("""COMPUTED_VALUE"""),45676.96339321759)</f>
        <v>45676.96339</v>
      </c>
      <c r="B20" s="117">
        <f>IFERROR(__xludf.DUMMYFUNCTION("""COMPUTED_VALUE"""),45676.0)</f>
        <v>45676</v>
      </c>
      <c r="C20" s="118" t="str">
        <f>IFERROR(__xludf.DUMMYFUNCTION("""COMPUTED_VALUE"""),"A15 GANESH TEMPLE")</f>
        <v>A15 GANESH TEMPLE</v>
      </c>
      <c r="D20" s="119">
        <f>IFERROR(__xludf.DUMMYFUNCTION("""COMPUTED_VALUE"""),117354.0)</f>
        <v>117354</v>
      </c>
      <c r="E20" s="119">
        <f>IFERROR(__xludf.DUMMYFUNCTION("""COMPUTED_VALUE"""),46080.0)</f>
        <v>46080</v>
      </c>
      <c r="F20" s="119">
        <f>IFERROR(__xludf.DUMMYFUNCTION("""COMPUTED_VALUE"""),19938.0)</f>
        <v>19938</v>
      </c>
      <c r="G20" s="119">
        <f>IFERROR(__xludf.DUMMYFUNCTION("""COMPUTED_VALUE"""),14816.0)</f>
        <v>14816</v>
      </c>
      <c r="H20" s="119">
        <f>IFERROR(__xludf.DUMMYFUNCTION("""COMPUTED_VALUE"""),4828.0)</f>
        <v>4828</v>
      </c>
      <c r="I20" s="119">
        <f>IFERROR(__xludf.DUMMYFUNCTION("""COMPUTED_VALUE"""),62358.0)</f>
        <v>62358</v>
      </c>
      <c r="J20" s="119">
        <f>IFERROR(__xludf.DUMMYFUNCTION("""COMPUTED_VALUE"""),62568.0)</f>
        <v>62568</v>
      </c>
      <c r="K20" s="119">
        <f>IFERROR(__xludf.DUMMYFUNCTION("""COMPUTED_VALUE"""),0.0)</f>
        <v>0</v>
      </c>
      <c r="L20" s="119">
        <f>IFERROR(__xludf.DUMMYFUNCTION("""COMPUTED_VALUE"""),70.0)</f>
        <v>70</v>
      </c>
      <c r="M20" s="119">
        <f>IFERROR(__xludf.DUMMYFUNCTION("""COMPUTED_VALUE"""),210.0)</f>
        <v>210</v>
      </c>
    </row>
    <row r="21">
      <c r="A21" s="116">
        <f>IFERROR(__xludf.DUMMYFUNCTION("""COMPUTED_VALUE"""),45677.962784999996)</f>
        <v>45677.96279</v>
      </c>
      <c r="B21" s="117">
        <f>IFERROR(__xludf.DUMMYFUNCTION("""COMPUTED_VALUE"""),45677.0)</f>
        <v>45677</v>
      </c>
      <c r="C21" s="118" t="str">
        <f>IFERROR(__xludf.DUMMYFUNCTION("""COMPUTED_VALUE"""),"A15 GANESH TEMPLE")</f>
        <v>A15 GANESH TEMPLE</v>
      </c>
      <c r="D21" s="119">
        <f>IFERROR(__xludf.DUMMYFUNCTION("""COMPUTED_VALUE"""),118137.0)</f>
        <v>118137</v>
      </c>
      <c r="E21" s="119">
        <f>IFERROR(__xludf.DUMMYFUNCTION("""COMPUTED_VALUE"""),55081.0)</f>
        <v>55081</v>
      </c>
      <c r="F21" s="119">
        <f>IFERROR(__xludf.DUMMYFUNCTION("""COMPUTED_VALUE"""),26884.0)</f>
        <v>26884</v>
      </c>
      <c r="G21" s="119">
        <f>IFERROR(__xludf.DUMMYFUNCTION("""COMPUTED_VALUE"""),0.0)</f>
        <v>0</v>
      </c>
      <c r="H21" s="119">
        <f>IFERROR(__xludf.DUMMYFUNCTION("""COMPUTED_VALUE"""),4835.0)</f>
        <v>4835</v>
      </c>
      <c r="I21" s="119">
        <f>IFERROR(__xludf.DUMMYFUNCTION("""COMPUTED_VALUE"""),62569.0)</f>
        <v>62569</v>
      </c>
      <c r="J21" s="119">
        <f>IFERROR(__xludf.DUMMYFUNCTION("""COMPUTED_VALUE"""),62844.0)</f>
        <v>62844</v>
      </c>
      <c r="K21" s="119">
        <f>IFERROR(__xludf.DUMMYFUNCTION("""COMPUTED_VALUE"""),50000.0)</f>
        <v>50000</v>
      </c>
      <c r="L21" s="119">
        <f>IFERROR(__xludf.DUMMYFUNCTION("""COMPUTED_VALUE"""),120.0)</f>
        <v>120</v>
      </c>
      <c r="M21" s="119">
        <f>IFERROR(__xludf.DUMMYFUNCTION("""COMPUTED_VALUE"""),275.0)</f>
        <v>275</v>
      </c>
    </row>
    <row r="22">
      <c r="A22" s="116">
        <f>IFERROR(__xludf.DUMMYFUNCTION("""COMPUTED_VALUE"""),45678.95963324074)</f>
        <v>45678.95963</v>
      </c>
      <c r="B22" s="117">
        <f>IFERROR(__xludf.DUMMYFUNCTION("""COMPUTED_VALUE"""),45678.0)</f>
        <v>45678</v>
      </c>
      <c r="C22" s="118" t="str">
        <f>IFERROR(__xludf.DUMMYFUNCTION("""COMPUTED_VALUE"""),"A15 GANESH TEMPLE")</f>
        <v>A15 GANESH TEMPLE</v>
      </c>
      <c r="D22" s="119">
        <f>IFERROR(__xludf.DUMMYFUNCTION("""COMPUTED_VALUE"""),100907.0)</f>
        <v>100907</v>
      </c>
      <c r="E22" s="119">
        <f>IFERROR(__xludf.DUMMYFUNCTION("""COMPUTED_VALUE"""),51593.0)</f>
        <v>51593</v>
      </c>
      <c r="F22" s="119">
        <f>IFERROR(__xludf.DUMMYFUNCTION("""COMPUTED_VALUE"""),25664.0)</f>
        <v>25664</v>
      </c>
      <c r="G22" s="119">
        <f>IFERROR(__xludf.DUMMYFUNCTION("""COMPUTED_VALUE"""),0.0)</f>
        <v>0</v>
      </c>
      <c r="H22" s="119">
        <f>IFERROR(__xludf.DUMMYFUNCTION("""COMPUTED_VALUE"""),11907.0)</f>
        <v>11907</v>
      </c>
      <c r="I22" s="119">
        <f>IFERROR(__xludf.DUMMYFUNCTION("""COMPUTED_VALUE"""),62570.0)</f>
        <v>62570</v>
      </c>
      <c r="J22" s="119">
        <f>IFERROR(__xludf.DUMMYFUNCTION("""COMPUTED_VALUE"""),63087.0)</f>
        <v>63087</v>
      </c>
      <c r="K22" s="119">
        <f>IFERROR(__xludf.DUMMYFUNCTION("""COMPUTED_VALUE"""),40000.0)</f>
        <v>40000</v>
      </c>
      <c r="L22" s="119">
        <f>IFERROR(__xludf.DUMMYFUNCTION("""COMPUTED_VALUE"""),100.0)</f>
        <v>100</v>
      </c>
      <c r="M22" s="119">
        <f>IFERROR(__xludf.DUMMYFUNCTION("""COMPUTED_VALUE"""),517.0)</f>
        <v>517</v>
      </c>
    </row>
    <row r="32">
      <c r="A32" s="156" t="s">
        <v>40</v>
      </c>
      <c r="D32" s="157">
        <f t="shared" ref="D32:M32" si="1">sum(D2:D31)</f>
        <v>2628659</v>
      </c>
      <c r="E32" s="157">
        <f t="shared" si="1"/>
        <v>1231561.07</v>
      </c>
      <c r="F32" s="157">
        <f t="shared" si="1"/>
        <v>627525</v>
      </c>
      <c r="G32" s="157">
        <f t="shared" si="1"/>
        <v>31922</v>
      </c>
      <c r="H32" s="157">
        <f t="shared" si="1"/>
        <v>91013</v>
      </c>
      <c r="I32" s="157">
        <f t="shared" si="1"/>
        <v>1268254</v>
      </c>
      <c r="J32" s="157">
        <f t="shared" si="1"/>
        <v>1273651</v>
      </c>
      <c r="K32" s="157">
        <f t="shared" si="1"/>
        <v>491500</v>
      </c>
      <c r="L32" s="157">
        <f t="shared" si="1"/>
        <v>239669</v>
      </c>
      <c r="M32" s="157">
        <f t="shared" si="1"/>
        <v>5397</v>
      </c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</sheetData>
  <mergeCells count="2">
    <mergeCell ref="O4:Q4"/>
    <mergeCell ref="A32:C32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5"/>
    <col customWidth="1" min="7" max="7" width="16.38"/>
  </cols>
  <sheetData>
    <row r="1">
      <c r="A1" s="99" t="s">
        <v>36</v>
      </c>
      <c r="B1" s="100" t="s">
        <v>19</v>
      </c>
      <c r="C1" s="101" t="s">
        <v>1</v>
      </c>
      <c r="D1" s="101" t="s">
        <v>21</v>
      </c>
      <c r="E1" s="101" t="s">
        <v>22</v>
      </c>
      <c r="F1" s="101" t="s">
        <v>23</v>
      </c>
      <c r="G1" s="101" t="s">
        <v>24</v>
      </c>
      <c r="H1" s="101" t="s">
        <v>25</v>
      </c>
      <c r="I1" s="101" t="s">
        <v>26</v>
      </c>
      <c r="J1" s="101" t="s">
        <v>27</v>
      </c>
      <c r="K1" s="101" t="s">
        <v>37</v>
      </c>
      <c r="L1" s="101" t="s">
        <v>29</v>
      </c>
      <c r="M1" s="103" t="s">
        <v>30</v>
      </c>
      <c r="O1" s="104" t="s">
        <v>38</v>
      </c>
      <c r="P1" s="104" t="s">
        <v>15</v>
      </c>
      <c r="Q1" s="104" t="s">
        <v>6</v>
      </c>
      <c r="R1" s="105"/>
      <c r="S1" s="105"/>
      <c r="T1" s="105"/>
      <c r="U1" s="105"/>
    </row>
    <row r="2">
      <c r="A2" s="150">
        <f>IFERROR(__xludf.DUMMYFUNCTION("filter(All_Stores_Collection_Data,All_Stores_Collection_Data[Store]=""A17 RAMANTAPUR"")"),45659.87523038195)</f>
        <v>45659.87523</v>
      </c>
      <c r="B2" s="151">
        <f>IFERROR(__xludf.DUMMYFUNCTION("""COMPUTED_VALUE"""),45658.0)</f>
        <v>45658</v>
      </c>
      <c r="C2" s="152" t="str">
        <f>IFERROR(__xludf.DUMMYFUNCTION("""COMPUTED_VALUE"""),"A17 RAMANTAPUR")</f>
        <v>A17 RAMANTAPUR</v>
      </c>
      <c r="D2" s="153">
        <f>IFERROR(__xludf.DUMMYFUNCTION("""COMPUTED_VALUE"""),75506.0)</f>
        <v>75506</v>
      </c>
      <c r="E2" s="153">
        <f>IFERROR(__xludf.DUMMYFUNCTION("""COMPUTED_VALUE"""),36344.0)</f>
        <v>36344</v>
      </c>
      <c r="F2" s="153">
        <f>IFERROR(__xludf.DUMMYFUNCTION("""COMPUTED_VALUE"""),13726.0)</f>
        <v>13726</v>
      </c>
      <c r="G2" s="153">
        <f>IFERROR(__xludf.DUMMYFUNCTION("""COMPUTED_VALUE"""),0.0)</f>
        <v>0</v>
      </c>
      <c r="H2" s="153">
        <f>IFERROR(__xludf.DUMMYFUNCTION("""COMPUTED_VALUE"""),0.0)</f>
        <v>0</v>
      </c>
      <c r="I2" s="153">
        <f>IFERROR(__xludf.DUMMYFUNCTION("""COMPUTED_VALUE"""),48776.0)</f>
        <v>48776</v>
      </c>
      <c r="J2" s="153">
        <f>IFERROR(__xludf.DUMMYFUNCTION("""COMPUTED_VALUE"""),48936.0)</f>
        <v>48936</v>
      </c>
      <c r="K2" s="153">
        <f>IFERROR(__xludf.DUMMYFUNCTION("""COMPUTED_VALUE"""),40500.0)</f>
        <v>40500</v>
      </c>
      <c r="L2" s="153">
        <f>IFERROR(__xludf.DUMMYFUNCTION("""COMPUTED_VALUE"""),270.0)</f>
        <v>270</v>
      </c>
      <c r="M2" s="154">
        <f>IFERROR(__xludf.DUMMYFUNCTION("""COMPUTED_VALUE"""),160.0)</f>
        <v>160</v>
      </c>
      <c r="N2" s="155"/>
      <c r="O2" s="113">
        <f>D32</f>
        <v>1787312</v>
      </c>
      <c r="P2" s="114">
        <f>sum(M1:M31)</f>
        <v>3798</v>
      </c>
      <c r="Q2" s="115">
        <f>(sum(D1:D31)-Sum(G1:G31))/P2</f>
        <v>464.8385993</v>
      </c>
      <c r="R2" s="114"/>
      <c r="S2" s="114"/>
      <c r="T2" s="115"/>
      <c r="U2" s="115"/>
      <c r="V2" s="155"/>
      <c r="W2" s="155"/>
      <c r="X2" s="155"/>
      <c r="Y2" s="155"/>
      <c r="Z2" s="155"/>
    </row>
    <row r="3">
      <c r="A3" s="116">
        <f>IFERROR(__xludf.DUMMYFUNCTION("""COMPUTED_VALUE"""),45660.493136307865)</f>
        <v>45660.49314</v>
      </c>
      <c r="B3" s="117">
        <f>IFERROR(__xludf.DUMMYFUNCTION("""COMPUTED_VALUE"""),45659.0)</f>
        <v>45659</v>
      </c>
      <c r="C3" s="118" t="str">
        <f>IFERROR(__xludf.DUMMYFUNCTION("""COMPUTED_VALUE"""),"A17 RAMANTAPUR")</f>
        <v>A17 RAMANTAPUR</v>
      </c>
      <c r="D3" s="119">
        <f>IFERROR(__xludf.DUMMYFUNCTION("""COMPUTED_VALUE"""),100359.0)</f>
        <v>100359</v>
      </c>
      <c r="E3" s="119">
        <f>IFERROR(__xludf.DUMMYFUNCTION("""COMPUTED_VALUE"""),41552.0)</f>
        <v>41552</v>
      </c>
      <c r="F3" s="119">
        <f>IFERROR(__xludf.DUMMYFUNCTION("""COMPUTED_VALUE"""),13778.0)</f>
        <v>13778</v>
      </c>
      <c r="G3" s="119">
        <f>IFERROR(__xludf.DUMMYFUNCTION("""COMPUTED_VALUE"""),0.0)</f>
        <v>0</v>
      </c>
      <c r="H3" s="119">
        <f>IFERROR(__xludf.DUMMYFUNCTION("""COMPUTED_VALUE"""),0.0)</f>
        <v>0</v>
      </c>
      <c r="I3" s="119">
        <f>IFERROR(__xludf.DUMMYFUNCTION("""COMPUTED_VALUE"""),48937.0)</f>
        <v>48937</v>
      </c>
      <c r="J3" s="119">
        <f>IFERROR(__xludf.DUMMYFUNCTION("""COMPUTED_VALUE"""),49137.0)</f>
        <v>49137</v>
      </c>
      <c r="K3" s="119">
        <f>IFERROR(__xludf.DUMMYFUNCTION("""COMPUTED_VALUE"""),34000.0)</f>
        <v>34000</v>
      </c>
      <c r="L3" s="119">
        <f>IFERROR(__xludf.DUMMYFUNCTION("""COMPUTED_VALUE"""),350.0)</f>
        <v>350</v>
      </c>
      <c r="M3" s="119">
        <f>IFERROR(__xludf.DUMMYFUNCTION("""COMPUTED_VALUE"""),200.0)</f>
        <v>200</v>
      </c>
    </row>
    <row r="4">
      <c r="A4" s="116">
        <f>IFERROR(__xludf.DUMMYFUNCTION("""COMPUTED_VALUE"""),45662.51846944445)</f>
        <v>45662.51847</v>
      </c>
      <c r="B4" s="117">
        <f>IFERROR(__xludf.DUMMYFUNCTION("""COMPUTED_VALUE"""),45660.0)</f>
        <v>45660</v>
      </c>
      <c r="C4" s="118" t="str">
        <f>IFERROR(__xludf.DUMMYFUNCTION("""COMPUTED_VALUE"""),"A17 RAMANTAPUR")</f>
        <v>A17 RAMANTAPUR</v>
      </c>
      <c r="D4" s="119">
        <f>IFERROR(__xludf.DUMMYFUNCTION("""COMPUTED_VALUE"""),91675.0)</f>
        <v>91675</v>
      </c>
      <c r="E4" s="119">
        <f>IFERROR(__xludf.DUMMYFUNCTION("""COMPUTED_VALUE"""),33969.0)</f>
        <v>33969</v>
      </c>
      <c r="F4" s="119">
        <f>IFERROR(__xludf.DUMMYFUNCTION("""COMPUTED_VALUE"""),24106.0)</f>
        <v>24106</v>
      </c>
      <c r="G4" s="119">
        <f>IFERROR(__xludf.DUMMYFUNCTION("""COMPUTED_VALUE"""),0.0)</f>
        <v>0</v>
      </c>
      <c r="H4" s="119">
        <f>IFERROR(__xludf.DUMMYFUNCTION("""COMPUTED_VALUE"""),0.0)</f>
        <v>0</v>
      </c>
      <c r="I4" s="119">
        <f>IFERROR(__xludf.DUMMYFUNCTION("""COMPUTED_VALUE"""),49138.0)</f>
        <v>49138</v>
      </c>
      <c r="J4" s="119">
        <f>IFERROR(__xludf.DUMMYFUNCTION("""COMPUTED_VALUE"""),49346.0)</f>
        <v>49346</v>
      </c>
      <c r="K4" s="119">
        <f>IFERROR(__xludf.DUMMYFUNCTION("""COMPUTED_VALUE"""),30000.0)</f>
        <v>30000</v>
      </c>
      <c r="L4" s="119">
        <f>IFERROR(__xludf.DUMMYFUNCTION("""COMPUTED_VALUE"""),350.0)</f>
        <v>350</v>
      </c>
      <c r="M4" s="119">
        <f>IFERROR(__xludf.DUMMYFUNCTION("""COMPUTED_VALUE"""),208.0)</f>
        <v>208</v>
      </c>
      <c r="O4" s="104" t="s">
        <v>39</v>
      </c>
    </row>
    <row r="5">
      <c r="A5" s="116">
        <f>IFERROR(__xludf.DUMMYFUNCTION("""COMPUTED_VALUE"""),45662.520618090275)</f>
        <v>45662.52062</v>
      </c>
      <c r="B5" s="117">
        <f>IFERROR(__xludf.DUMMYFUNCTION("""COMPUTED_VALUE"""),45661.0)</f>
        <v>45661</v>
      </c>
      <c r="C5" s="118" t="str">
        <f>IFERROR(__xludf.DUMMYFUNCTION("""COMPUTED_VALUE"""),"A17 RAMANTAPUR")</f>
        <v>A17 RAMANTAPUR</v>
      </c>
      <c r="D5" s="119">
        <f>IFERROR(__xludf.DUMMYFUNCTION("""COMPUTED_VALUE"""),128966.0)</f>
        <v>128966</v>
      </c>
      <c r="E5" s="119">
        <f>IFERROR(__xludf.DUMMYFUNCTION("""COMPUTED_VALUE"""),36970.0)</f>
        <v>36970</v>
      </c>
      <c r="F5" s="119">
        <f>IFERROR(__xludf.DUMMYFUNCTION("""COMPUTED_VALUE"""),28409.0)</f>
        <v>28409</v>
      </c>
      <c r="G5" s="119">
        <f>IFERROR(__xludf.DUMMYFUNCTION("""COMPUTED_VALUE"""),0.0)</f>
        <v>0</v>
      </c>
      <c r="H5" s="119">
        <f>IFERROR(__xludf.DUMMYFUNCTION("""COMPUTED_VALUE"""),0.0)</f>
        <v>0</v>
      </c>
      <c r="I5" s="119">
        <f>IFERROR(__xludf.DUMMYFUNCTION("""COMPUTED_VALUE"""),49347.0)</f>
        <v>49347</v>
      </c>
      <c r="J5" s="119">
        <f>IFERROR(__xludf.DUMMYFUNCTION("""COMPUTED_VALUE"""),49546.0)</f>
        <v>49546</v>
      </c>
      <c r="K5" s="119">
        <f>IFERROR(__xludf.DUMMYFUNCTION("""COMPUTED_VALUE"""),33000.0)</f>
        <v>33000</v>
      </c>
      <c r="L5" s="119">
        <f>IFERROR(__xludf.DUMMYFUNCTION("""COMPUTED_VALUE"""),294.0)</f>
        <v>294</v>
      </c>
      <c r="M5" s="119">
        <f>IFERROR(__xludf.DUMMYFUNCTION("""COMPUTED_VALUE"""),199.0)</f>
        <v>199</v>
      </c>
      <c r="O5" s="114">
        <f>SUMIF(A1:M30,Entry!B259,C1:C30)</f>
        <v>0</v>
      </c>
      <c r="P5" s="114" t="str">
        <f>VLOOKUP(Entry!B259,B:M,12,0)</f>
        <v>#REF!</v>
      </c>
      <c r="Q5" s="115" t="str">
        <f>(O5-Vlookup(Entry!B259,B:M,6,0))/P5</f>
        <v>#REF!</v>
      </c>
      <c r="R5" s="105"/>
      <c r="S5" s="105"/>
      <c r="T5" s="105"/>
      <c r="U5" s="105"/>
    </row>
    <row r="6">
      <c r="A6" s="116">
        <f>IFERROR(__xludf.DUMMYFUNCTION("""COMPUTED_VALUE"""),45663.3807999537)</f>
        <v>45663.3808</v>
      </c>
      <c r="B6" s="117">
        <f>IFERROR(__xludf.DUMMYFUNCTION("""COMPUTED_VALUE"""),45662.0)</f>
        <v>45662</v>
      </c>
      <c r="C6" s="118" t="str">
        <f>IFERROR(__xludf.DUMMYFUNCTION("""COMPUTED_VALUE"""),"A17 RAMANTAPUR")</f>
        <v>A17 RAMANTAPUR</v>
      </c>
      <c r="D6" s="119">
        <f>IFERROR(__xludf.DUMMYFUNCTION("""COMPUTED_VALUE"""),67554.0)</f>
        <v>67554</v>
      </c>
      <c r="E6" s="119">
        <f>IFERROR(__xludf.DUMMYFUNCTION("""COMPUTED_VALUE"""),43903.0)</f>
        <v>43903</v>
      </c>
      <c r="F6" s="119">
        <f>IFERROR(__xludf.DUMMYFUNCTION("""COMPUTED_VALUE"""),15545.0)</f>
        <v>15545</v>
      </c>
      <c r="G6" s="118" t="str">
        <f>IFERROR(__xludf.DUMMYFUNCTION("""COMPUTED_VALUE"""),"no")</f>
        <v>no</v>
      </c>
      <c r="H6" s="118" t="str">
        <f>IFERROR(__xludf.DUMMYFUNCTION("""COMPUTED_VALUE"""),"no")</f>
        <v>no</v>
      </c>
      <c r="I6" s="119">
        <f>IFERROR(__xludf.DUMMYFUNCTION("""COMPUTED_VALUE"""),49547.0)</f>
        <v>49547</v>
      </c>
      <c r="J6" s="119">
        <f>IFERROR(__xludf.DUMMYFUNCTION("""COMPUTED_VALUE"""),49707.0)</f>
        <v>49707</v>
      </c>
      <c r="K6" s="118" t="str">
        <f>IFERROR(__xludf.DUMMYFUNCTION("""COMPUTED_VALUE"""),"no")</f>
        <v>no</v>
      </c>
      <c r="L6" s="119">
        <f>IFERROR(__xludf.DUMMYFUNCTION("""COMPUTED_VALUE"""),340.0)</f>
        <v>340</v>
      </c>
      <c r="M6" s="119">
        <f>IFERROR(__xludf.DUMMYFUNCTION("""COMPUTED_VALUE"""),160.0)</f>
        <v>160</v>
      </c>
      <c r="O6" s="114"/>
      <c r="P6" s="114"/>
      <c r="Q6" s="114"/>
      <c r="R6" s="114"/>
      <c r="S6" s="114"/>
      <c r="T6" s="115"/>
      <c r="U6" s="115"/>
    </row>
    <row r="7">
      <c r="A7" s="116">
        <f>IFERROR(__xludf.DUMMYFUNCTION("""COMPUTED_VALUE"""),45663.949162881945)</f>
        <v>45663.94916</v>
      </c>
      <c r="B7" s="117">
        <f>IFERROR(__xludf.DUMMYFUNCTION("""COMPUTED_VALUE"""),45663.0)</f>
        <v>45663</v>
      </c>
      <c r="C7" s="118" t="str">
        <f>IFERROR(__xludf.DUMMYFUNCTION("""COMPUTED_VALUE"""),"A17 RAMANTAPUR")</f>
        <v>A17 RAMANTAPUR</v>
      </c>
      <c r="D7" s="119">
        <f>IFERROR(__xludf.DUMMYFUNCTION("""COMPUTED_VALUE"""),97579.0)</f>
        <v>97579</v>
      </c>
      <c r="E7" s="119">
        <f>IFERROR(__xludf.DUMMYFUNCTION("""COMPUTED_VALUE"""),45700.0)</f>
        <v>45700</v>
      </c>
      <c r="F7" s="119">
        <f>IFERROR(__xludf.DUMMYFUNCTION("""COMPUTED_VALUE"""),68564.0)</f>
        <v>68564</v>
      </c>
      <c r="G7" s="118" t="str">
        <f>IFERROR(__xludf.DUMMYFUNCTION("""COMPUTED_VALUE"""),"no")</f>
        <v>no</v>
      </c>
      <c r="H7" s="118" t="str">
        <f>IFERROR(__xludf.DUMMYFUNCTION("""COMPUTED_VALUE"""),"no")</f>
        <v>no</v>
      </c>
      <c r="I7" s="119">
        <f>IFERROR(__xludf.DUMMYFUNCTION("""COMPUTED_VALUE"""),49708.0)</f>
        <v>49708</v>
      </c>
      <c r="J7" s="119">
        <f>IFERROR(__xludf.DUMMYFUNCTION("""COMPUTED_VALUE"""),49932.0)</f>
        <v>49932</v>
      </c>
      <c r="K7" s="119">
        <f>IFERROR(__xludf.DUMMYFUNCTION("""COMPUTED_VALUE"""),16500.0)</f>
        <v>16500</v>
      </c>
      <c r="L7" s="118"/>
      <c r="M7" s="119">
        <f>IFERROR(__xludf.DUMMYFUNCTION("""COMPUTED_VALUE"""),224.0)</f>
        <v>224</v>
      </c>
      <c r="O7" s="114"/>
      <c r="P7" s="114"/>
      <c r="Q7" s="114"/>
      <c r="R7" s="114"/>
      <c r="S7" s="114"/>
      <c r="T7" s="114"/>
    </row>
    <row r="8">
      <c r="A8" s="116">
        <f>IFERROR(__xludf.DUMMYFUNCTION("""COMPUTED_VALUE"""),45665.36420074074)</f>
        <v>45665.3642</v>
      </c>
      <c r="B8" s="117">
        <f>IFERROR(__xludf.DUMMYFUNCTION("""COMPUTED_VALUE"""),45664.0)</f>
        <v>45664</v>
      </c>
      <c r="C8" s="118" t="str">
        <f>IFERROR(__xludf.DUMMYFUNCTION("""COMPUTED_VALUE"""),"A17 RAMANTAPUR")</f>
        <v>A17 RAMANTAPUR</v>
      </c>
      <c r="D8" s="119">
        <f>IFERROR(__xludf.DUMMYFUNCTION("""COMPUTED_VALUE"""),101275.0)</f>
        <v>101275</v>
      </c>
      <c r="E8" s="119">
        <f>IFERROR(__xludf.DUMMYFUNCTION("""COMPUTED_VALUE"""),50821.0)</f>
        <v>50821</v>
      </c>
      <c r="F8" s="119">
        <f>IFERROR(__xludf.DUMMYFUNCTION("""COMPUTED_VALUE"""),14379.0)</f>
        <v>14379</v>
      </c>
      <c r="G8" s="118" t="str">
        <f>IFERROR(__xludf.DUMMYFUNCTION("""COMPUTED_VALUE"""),"no")</f>
        <v>no</v>
      </c>
      <c r="H8" s="118" t="str">
        <f>IFERROR(__xludf.DUMMYFUNCTION("""COMPUTED_VALUE"""),"no")</f>
        <v>no</v>
      </c>
      <c r="I8" s="119">
        <f>IFERROR(__xludf.DUMMYFUNCTION("""COMPUTED_VALUE"""),49933.0)</f>
        <v>49933</v>
      </c>
      <c r="J8" s="119">
        <f>IFERROR(__xludf.DUMMYFUNCTION("""COMPUTED_VALUE"""),50127.0)</f>
        <v>50127</v>
      </c>
      <c r="K8" s="119">
        <f>IFERROR(__xludf.DUMMYFUNCTION("""COMPUTED_VALUE"""),29500.0)</f>
        <v>29500</v>
      </c>
      <c r="L8" s="119">
        <f>IFERROR(__xludf.DUMMYFUNCTION("""COMPUTED_VALUE"""),450.0)</f>
        <v>450</v>
      </c>
      <c r="M8" s="119">
        <f>IFERROR(__xludf.DUMMYFUNCTION("""COMPUTED_VALUE"""),194.0)</f>
        <v>194</v>
      </c>
      <c r="O8" s="114"/>
      <c r="P8" s="114"/>
      <c r="Q8" s="114"/>
      <c r="R8" s="114"/>
      <c r="S8" s="114"/>
      <c r="T8" s="114"/>
    </row>
    <row r="9">
      <c r="A9" s="116">
        <f>IFERROR(__xludf.DUMMYFUNCTION("""COMPUTED_VALUE"""),45666.831734120366)</f>
        <v>45666.83173</v>
      </c>
      <c r="B9" s="117">
        <f>IFERROR(__xludf.DUMMYFUNCTION("""COMPUTED_VALUE"""),45665.0)</f>
        <v>45665</v>
      </c>
      <c r="C9" s="118" t="str">
        <f>IFERROR(__xludf.DUMMYFUNCTION("""COMPUTED_VALUE"""),"A17 RAMANTAPUR")</f>
        <v>A17 RAMANTAPUR</v>
      </c>
      <c r="D9" s="119">
        <f>IFERROR(__xludf.DUMMYFUNCTION("""COMPUTED_VALUE"""),85543.0)</f>
        <v>85543</v>
      </c>
      <c r="E9" s="119">
        <f>IFERROR(__xludf.DUMMYFUNCTION("""COMPUTED_VALUE"""),42821.0)</f>
        <v>42821</v>
      </c>
      <c r="F9" s="119">
        <f>IFERROR(__xludf.DUMMYFUNCTION("""COMPUTED_VALUE"""),41767.0)</f>
        <v>41767</v>
      </c>
      <c r="G9" s="118" t="str">
        <f>IFERROR(__xludf.DUMMYFUNCTION("""COMPUTED_VALUE"""),"no")</f>
        <v>no</v>
      </c>
      <c r="H9" s="119">
        <f>IFERROR(__xludf.DUMMYFUNCTION("""COMPUTED_VALUE"""),4971.0)</f>
        <v>4971</v>
      </c>
      <c r="I9" s="119">
        <f>IFERROR(__xludf.DUMMYFUNCTION("""COMPUTED_VALUE"""),50128.0)</f>
        <v>50128</v>
      </c>
      <c r="J9" s="119">
        <f>IFERROR(__xludf.DUMMYFUNCTION("""COMPUTED_VALUE"""),50332.0)</f>
        <v>50332</v>
      </c>
      <c r="K9" s="118" t="str">
        <f>IFERROR(__xludf.DUMMYFUNCTION("""COMPUTED_VALUE"""),"no")</f>
        <v>no</v>
      </c>
      <c r="L9" s="119">
        <f>IFERROR(__xludf.DUMMYFUNCTION("""COMPUTED_VALUE"""),180.0)</f>
        <v>180</v>
      </c>
      <c r="M9" s="119">
        <f>IFERROR(__xludf.DUMMYFUNCTION("""COMPUTED_VALUE"""),204.0)</f>
        <v>204</v>
      </c>
      <c r="O9" s="114"/>
      <c r="P9" s="114"/>
      <c r="Q9" s="114"/>
      <c r="R9" s="114"/>
      <c r="S9" s="114"/>
      <c r="T9" s="114"/>
    </row>
    <row r="10">
      <c r="A10" s="116">
        <f>IFERROR(__xludf.DUMMYFUNCTION("""COMPUTED_VALUE"""),45667.34647796296)</f>
        <v>45667.34648</v>
      </c>
      <c r="B10" s="117">
        <f>IFERROR(__xludf.DUMMYFUNCTION("""COMPUTED_VALUE"""),45666.0)</f>
        <v>45666</v>
      </c>
      <c r="C10" s="118" t="str">
        <f>IFERROR(__xludf.DUMMYFUNCTION("""COMPUTED_VALUE"""),"A17 RAMANTAPUR")</f>
        <v>A17 RAMANTAPUR</v>
      </c>
      <c r="D10" s="119">
        <f>IFERROR(__xludf.DUMMYFUNCTION("""COMPUTED_VALUE"""),85627.0)</f>
        <v>85627</v>
      </c>
      <c r="E10" s="119">
        <f>IFERROR(__xludf.DUMMYFUNCTION("""COMPUTED_VALUE"""),34214.0)</f>
        <v>34214</v>
      </c>
      <c r="F10" s="119">
        <f>IFERROR(__xludf.DUMMYFUNCTION("""COMPUTED_VALUE"""),25443.0)</f>
        <v>25443</v>
      </c>
      <c r="G10" s="118" t="str">
        <f>IFERROR(__xludf.DUMMYFUNCTION("""COMPUTED_VALUE"""),"no")</f>
        <v>no</v>
      </c>
      <c r="H10" s="119">
        <f>IFERROR(__xludf.DUMMYFUNCTION("""COMPUTED_VALUE"""),2912.0)</f>
        <v>2912</v>
      </c>
      <c r="I10" s="119">
        <f>IFERROR(__xludf.DUMMYFUNCTION("""COMPUTED_VALUE"""),50333.0)</f>
        <v>50333</v>
      </c>
      <c r="J10" s="119">
        <f>IFERROR(__xludf.DUMMYFUNCTION("""COMPUTED_VALUE"""),50519.0)</f>
        <v>50519</v>
      </c>
      <c r="K10" s="119">
        <f>IFERROR(__xludf.DUMMYFUNCTION("""COMPUTED_VALUE"""),24200.0)</f>
        <v>24200</v>
      </c>
      <c r="L10" s="119">
        <f>IFERROR(__xludf.DUMMYFUNCTION("""COMPUTED_VALUE"""),353.0)</f>
        <v>353</v>
      </c>
      <c r="M10" s="119">
        <f>IFERROR(__xludf.DUMMYFUNCTION("""COMPUTED_VALUE"""),186.0)</f>
        <v>186</v>
      </c>
      <c r="O10" s="114"/>
      <c r="P10" s="114"/>
      <c r="Q10" s="114"/>
      <c r="R10" s="114"/>
      <c r="S10" s="114"/>
      <c r="T10" s="114"/>
    </row>
    <row r="11">
      <c r="A11" s="116">
        <f>IFERROR(__xludf.DUMMYFUNCTION("""COMPUTED_VALUE"""),45668.499966874995)</f>
        <v>45668.49997</v>
      </c>
      <c r="B11" s="117">
        <f>IFERROR(__xludf.DUMMYFUNCTION("""COMPUTED_VALUE"""),45667.0)</f>
        <v>45667</v>
      </c>
      <c r="C11" s="118" t="str">
        <f>IFERROR(__xludf.DUMMYFUNCTION("""COMPUTED_VALUE"""),"A17 RAMANTAPUR")</f>
        <v>A17 RAMANTAPUR</v>
      </c>
      <c r="D11" s="119">
        <f>IFERROR(__xludf.DUMMYFUNCTION("""COMPUTED_VALUE"""),78239.0)</f>
        <v>78239</v>
      </c>
      <c r="E11" s="119">
        <f>IFERROR(__xludf.DUMMYFUNCTION("""COMPUTED_VALUE"""),33368.0)</f>
        <v>33368</v>
      </c>
      <c r="F11" s="119">
        <f>IFERROR(__xludf.DUMMYFUNCTION("""COMPUTED_VALUE"""),20388.0)</f>
        <v>20388</v>
      </c>
      <c r="G11" s="119">
        <f>IFERROR(__xludf.DUMMYFUNCTION("""COMPUTED_VALUE"""),0.0)</f>
        <v>0</v>
      </c>
      <c r="H11" s="119">
        <f>IFERROR(__xludf.DUMMYFUNCTION("""COMPUTED_VALUE"""),2541.0)</f>
        <v>2541</v>
      </c>
      <c r="I11" s="119">
        <f>IFERROR(__xludf.DUMMYFUNCTION("""COMPUTED_VALUE"""),50520.0)</f>
        <v>50520</v>
      </c>
      <c r="J11" s="119">
        <f>IFERROR(__xludf.DUMMYFUNCTION("""COMPUTED_VALUE"""),50686.0)</f>
        <v>50686</v>
      </c>
      <c r="K11" s="119">
        <f>IFERROR(__xludf.DUMMYFUNCTION("""COMPUTED_VALUE"""),24000.0)</f>
        <v>24000</v>
      </c>
      <c r="L11" s="119">
        <f>IFERROR(__xludf.DUMMYFUNCTION("""COMPUTED_VALUE"""),290.0)</f>
        <v>290</v>
      </c>
      <c r="M11" s="119">
        <f>IFERROR(__xludf.DUMMYFUNCTION("""COMPUTED_VALUE"""),166.0)</f>
        <v>166</v>
      </c>
      <c r="O11" s="114"/>
      <c r="P11" s="114"/>
      <c r="Q11" s="114"/>
      <c r="R11" s="114"/>
      <c r="S11" s="114"/>
      <c r="T11" s="114"/>
    </row>
    <row r="12">
      <c r="A12" s="116">
        <f>IFERROR(__xludf.DUMMYFUNCTION("""COMPUTED_VALUE"""),45669.39816460648)</f>
        <v>45669.39816</v>
      </c>
      <c r="B12" s="117">
        <f>IFERROR(__xludf.DUMMYFUNCTION("""COMPUTED_VALUE"""),45668.0)</f>
        <v>45668</v>
      </c>
      <c r="C12" s="118" t="str">
        <f>IFERROR(__xludf.DUMMYFUNCTION("""COMPUTED_VALUE"""),"A17 RAMANTAPUR")</f>
        <v>A17 RAMANTAPUR</v>
      </c>
      <c r="D12" s="119">
        <f>IFERROR(__xludf.DUMMYFUNCTION("""COMPUTED_VALUE"""),88795.0)</f>
        <v>88795</v>
      </c>
      <c r="E12" s="119">
        <f>IFERROR(__xludf.DUMMYFUNCTION("""COMPUTED_VALUE"""),32928.0)</f>
        <v>32928</v>
      </c>
      <c r="F12" s="119">
        <f>IFERROR(__xludf.DUMMYFUNCTION("""COMPUTED_VALUE"""),15473.0)</f>
        <v>15473</v>
      </c>
      <c r="G12" s="119">
        <f>IFERROR(__xludf.DUMMYFUNCTION("""COMPUTED_VALUE"""),1671.0)</f>
        <v>1671</v>
      </c>
      <c r="H12" s="119">
        <f>IFERROR(__xludf.DUMMYFUNCTION("""COMPUTED_VALUE"""),2832.0)</f>
        <v>2832</v>
      </c>
      <c r="I12" s="119">
        <f>IFERROR(__xludf.DUMMYFUNCTION("""COMPUTED_VALUE"""),50687.0)</f>
        <v>50687</v>
      </c>
      <c r="J12" s="119">
        <f>IFERROR(__xludf.DUMMYFUNCTION("""COMPUTED_VALUE"""),50896.0)</f>
        <v>50896</v>
      </c>
      <c r="K12" s="119">
        <f>IFERROR(__xludf.DUMMYFUNCTION("""COMPUTED_VALUE"""),0.0)</f>
        <v>0</v>
      </c>
      <c r="L12" s="119">
        <f>IFERROR(__xludf.DUMMYFUNCTION("""COMPUTED_VALUE"""),364.0)</f>
        <v>364</v>
      </c>
      <c r="M12" s="119">
        <f>IFERROR(__xludf.DUMMYFUNCTION("""COMPUTED_VALUE"""),209.0)</f>
        <v>209</v>
      </c>
      <c r="O12" s="114"/>
      <c r="P12" s="114"/>
      <c r="Q12" s="114"/>
      <c r="R12" s="114"/>
      <c r="S12" s="114"/>
      <c r="T12" s="114"/>
    </row>
    <row r="13">
      <c r="A13" s="116">
        <f>IFERROR(__xludf.DUMMYFUNCTION("""COMPUTED_VALUE"""),45670.483171087966)</f>
        <v>45670.48317</v>
      </c>
      <c r="B13" s="117">
        <f>IFERROR(__xludf.DUMMYFUNCTION("""COMPUTED_VALUE"""),45669.0)</f>
        <v>45669</v>
      </c>
      <c r="C13" s="118" t="str">
        <f>IFERROR(__xludf.DUMMYFUNCTION("""COMPUTED_VALUE"""),"A17 RAMANTAPUR")</f>
        <v>A17 RAMANTAPUR</v>
      </c>
      <c r="D13" s="119">
        <f>IFERROR(__xludf.DUMMYFUNCTION("""COMPUTED_VALUE"""),96717.0)</f>
        <v>96717</v>
      </c>
      <c r="E13" s="119">
        <f>IFERROR(__xludf.DUMMYFUNCTION("""COMPUTED_VALUE"""),53151.0)</f>
        <v>53151</v>
      </c>
      <c r="F13" s="119">
        <f>IFERROR(__xludf.DUMMYFUNCTION("""COMPUTED_VALUE"""),19113.0)</f>
        <v>19113</v>
      </c>
      <c r="G13" s="119">
        <f>IFERROR(__xludf.DUMMYFUNCTION("""COMPUTED_VALUE"""),0.0)</f>
        <v>0</v>
      </c>
      <c r="H13" s="119">
        <f>IFERROR(__xludf.DUMMYFUNCTION("""COMPUTED_VALUE"""),0.0)</f>
        <v>0</v>
      </c>
      <c r="I13" s="119">
        <f>IFERROR(__xludf.DUMMYFUNCTION("""COMPUTED_VALUE"""),50897.0)</f>
        <v>50897</v>
      </c>
      <c r="J13" s="119">
        <f>IFERROR(__xludf.DUMMYFUNCTION("""COMPUTED_VALUE"""),51039.0)</f>
        <v>51039</v>
      </c>
      <c r="K13" s="119">
        <f>IFERROR(__xludf.DUMMYFUNCTION("""COMPUTED_VALUE"""),0.0)</f>
        <v>0</v>
      </c>
      <c r="L13" s="119">
        <f>IFERROR(__xludf.DUMMYFUNCTION("""COMPUTED_VALUE"""),280.0)</f>
        <v>280</v>
      </c>
      <c r="M13" s="119">
        <f>IFERROR(__xludf.DUMMYFUNCTION("""COMPUTED_VALUE"""),142.0)</f>
        <v>142</v>
      </c>
      <c r="O13" s="114"/>
      <c r="P13" s="114"/>
      <c r="Q13" s="114"/>
      <c r="R13" s="114"/>
      <c r="S13" s="114"/>
      <c r="T13" s="114"/>
    </row>
    <row r="14">
      <c r="A14" s="116">
        <f>IFERROR(__xludf.DUMMYFUNCTION("""COMPUTED_VALUE"""),45670.948419305554)</f>
        <v>45670.94842</v>
      </c>
      <c r="B14" s="117">
        <f>IFERROR(__xludf.DUMMYFUNCTION("""COMPUTED_VALUE"""),45670.0)</f>
        <v>45670</v>
      </c>
      <c r="C14" s="118" t="str">
        <f>IFERROR(__xludf.DUMMYFUNCTION("""COMPUTED_VALUE"""),"A17 RAMANTAPUR")</f>
        <v>A17 RAMANTAPUR</v>
      </c>
      <c r="D14" s="119">
        <f>IFERROR(__xludf.DUMMYFUNCTION("""COMPUTED_VALUE"""),73990.0)</f>
        <v>73990</v>
      </c>
      <c r="E14" s="119">
        <f>IFERROR(__xludf.DUMMYFUNCTION("""COMPUTED_VALUE"""),32446.0)</f>
        <v>32446</v>
      </c>
      <c r="F14" s="119">
        <f>IFERROR(__xludf.DUMMYFUNCTION("""COMPUTED_VALUE"""),20576.0)</f>
        <v>20576</v>
      </c>
      <c r="G14" s="119">
        <f>IFERROR(__xludf.DUMMYFUNCTION("""COMPUTED_VALUE"""),180.0)</f>
        <v>180</v>
      </c>
      <c r="H14" s="119">
        <f>IFERROR(__xludf.DUMMYFUNCTION("""COMPUTED_VALUE"""),1565.0)</f>
        <v>1565</v>
      </c>
      <c r="I14" s="119">
        <f>IFERROR(__xludf.DUMMYFUNCTION("""COMPUTED_VALUE"""),51094.0)</f>
        <v>51094</v>
      </c>
      <c r="J14" s="119">
        <f>IFERROR(__xludf.DUMMYFUNCTION("""COMPUTED_VALUE"""),51285.0)</f>
        <v>51285</v>
      </c>
      <c r="K14" s="119">
        <f>IFERROR(__xludf.DUMMYFUNCTION("""COMPUTED_VALUE"""),63000.0)</f>
        <v>63000</v>
      </c>
      <c r="L14" s="119">
        <f>IFERROR(__xludf.DUMMYFUNCTION("""COMPUTED_VALUE"""),300.0)</f>
        <v>300</v>
      </c>
      <c r="M14" s="119">
        <f>IFERROR(__xludf.DUMMYFUNCTION("""COMPUTED_VALUE"""),191.0)</f>
        <v>191</v>
      </c>
      <c r="O14" s="114"/>
      <c r="P14" s="114"/>
      <c r="Q14" s="114"/>
      <c r="R14" s="114"/>
      <c r="S14" s="114"/>
      <c r="T14" s="114"/>
    </row>
    <row r="15">
      <c r="A15" s="116">
        <f>IFERROR(__xludf.DUMMYFUNCTION("""COMPUTED_VALUE"""),45672.3643833449)</f>
        <v>45672.36438</v>
      </c>
      <c r="B15" s="117">
        <f>IFERROR(__xludf.DUMMYFUNCTION("""COMPUTED_VALUE"""),45671.0)</f>
        <v>45671</v>
      </c>
      <c r="C15" s="118" t="str">
        <f>IFERROR(__xludf.DUMMYFUNCTION("""COMPUTED_VALUE"""),"A17 RAMANTAPUR")</f>
        <v>A17 RAMANTAPUR</v>
      </c>
      <c r="D15" s="119">
        <f>IFERROR(__xludf.DUMMYFUNCTION("""COMPUTED_VALUE"""),46373.0)</f>
        <v>46373</v>
      </c>
      <c r="E15" s="119">
        <f>IFERROR(__xludf.DUMMYFUNCTION("""COMPUTED_VALUE"""),24280.0)</f>
        <v>24280</v>
      </c>
      <c r="F15" s="119">
        <f>IFERROR(__xludf.DUMMYFUNCTION("""COMPUTED_VALUE"""),5939.0)</f>
        <v>5939</v>
      </c>
      <c r="G15" s="119">
        <f>IFERROR(__xludf.DUMMYFUNCTION("""COMPUTED_VALUE"""),0.0)</f>
        <v>0</v>
      </c>
      <c r="H15" s="119">
        <f>IFERROR(__xludf.DUMMYFUNCTION("""COMPUTED_VALUE"""),382.0)</f>
        <v>382</v>
      </c>
      <c r="I15" s="119">
        <f>IFERROR(__xludf.DUMMYFUNCTION("""COMPUTED_VALUE"""),51286.0)</f>
        <v>51286</v>
      </c>
      <c r="J15" s="119">
        <f>IFERROR(__xludf.DUMMYFUNCTION("""COMPUTED_VALUE"""),51429.0)</f>
        <v>51429</v>
      </c>
      <c r="K15" s="119">
        <f>IFERROR(__xludf.DUMMYFUNCTION("""COMPUTED_VALUE"""),0.0)</f>
        <v>0</v>
      </c>
      <c r="L15" s="119">
        <f>IFERROR(__xludf.DUMMYFUNCTION("""COMPUTED_VALUE"""),80.0)</f>
        <v>80</v>
      </c>
      <c r="M15" s="119">
        <f>IFERROR(__xludf.DUMMYFUNCTION("""COMPUTED_VALUE"""),143.0)</f>
        <v>143</v>
      </c>
      <c r="O15" s="114"/>
      <c r="P15" s="114"/>
      <c r="Q15" s="114"/>
      <c r="R15" s="114"/>
      <c r="S15" s="114"/>
      <c r="T15" s="114"/>
    </row>
    <row r="16">
      <c r="A16" s="116">
        <f>IFERROR(__xludf.DUMMYFUNCTION("""COMPUTED_VALUE"""),45672.94276873843)</f>
        <v>45672.94277</v>
      </c>
      <c r="B16" s="117">
        <f>IFERROR(__xludf.DUMMYFUNCTION("""COMPUTED_VALUE"""),45672.0)</f>
        <v>45672</v>
      </c>
      <c r="C16" s="118" t="str">
        <f>IFERROR(__xludf.DUMMYFUNCTION("""COMPUTED_VALUE"""),"A17 RAMANTAPUR")</f>
        <v>A17 RAMANTAPUR</v>
      </c>
      <c r="D16" s="119">
        <f>IFERROR(__xludf.DUMMYFUNCTION("""COMPUTED_VALUE"""),69851.0)</f>
        <v>69851</v>
      </c>
      <c r="E16" s="119">
        <f>IFERROR(__xludf.DUMMYFUNCTION("""COMPUTED_VALUE"""),39398.0)</f>
        <v>39398</v>
      </c>
      <c r="F16" s="119">
        <f>IFERROR(__xludf.DUMMYFUNCTION("""COMPUTED_VALUE"""),8126.0)</f>
        <v>8126</v>
      </c>
      <c r="G16" s="119">
        <f>IFERROR(__xludf.DUMMYFUNCTION("""COMPUTED_VALUE"""),253.0)</f>
        <v>253</v>
      </c>
      <c r="H16" s="119">
        <f>IFERROR(__xludf.DUMMYFUNCTION("""COMPUTED_VALUE"""),3432.0)</f>
        <v>3432</v>
      </c>
      <c r="I16" s="119">
        <f>IFERROR(__xludf.DUMMYFUNCTION("""COMPUTED_VALUE"""),51430.0)</f>
        <v>51430</v>
      </c>
      <c r="J16" s="119">
        <f>IFERROR(__xludf.DUMMYFUNCTION("""COMPUTED_VALUE"""),51597.0)</f>
        <v>51597</v>
      </c>
      <c r="K16" s="119">
        <f>IFERROR(__xludf.DUMMYFUNCTION("""COMPUTED_VALUE"""),37000.0)</f>
        <v>37000</v>
      </c>
      <c r="L16" s="119">
        <f>IFERROR(__xludf.DUMMYFUNCTION("""COMPUTED_VALUE"""),80.0)</f>
        <v>80</v>
      </c>
      <c r="M16" s="119">
        <f>IFERROR(__xludf.DUMMYFUNCTION("""COMPUTED_VALUE"""),167.0)</f>
        <v>167</v>
      </c>
      <c r="O16" s="114"/>
      <c r="P16" s="114"/>
      <c r="Q16" s="114"/>
      <c r="R16" s="114"/>
      <c r="S16" s="114"/>
      <c r="T16" s="114"/>
    </row>
    <row r="17">
      <c r="A17" s="116">
        <f>IFERROR(__xludf.DUMMYFUNCTION("""COMPUTED_VALUE"""),45676.49520938657)</f>
        <v>45676.49521</v>
      </c>
      <c r="B17" s="117">
        <f>IFERROR(__xludf.DUMMYFUNCTION("""COMPUTED_VALUE"""),45673.0)</f>
        <v>45673</v>
      </c>
      <c r="C17" s="118" t="str">
        <f>IFERROR(__xludf.DUMMYFUNCTION("""COMPUTED_VALUE"""),"A17 RAMANTAPUR")</f>
        <v>A17 RAMANTAPUR</v>
      </c>
      <c r="D17" s="119">
        <f>IFERROR(__xludf.DUMMYFUNCTION("""COMPUTED_VALUE"""),74004.0)</f>
        <v>74004</v>
      </c>
      <c r="E17" s="119">
        <f>IFERROR(__xludf.DUMMYFUNCTION("""COMPUTED_VALUE"""),30013.0)</f>
        <v>30013</v>
      </c>
      <c r="F17" s="119">
        <f>IFERROR(__xludf.DUMMYFUNCTION("""COMPUTED_VALUE"""),5316.0)</f>
        <v>5316</v>
      </c>
      <c r="G17" s="119">
        <f>IFERROR(__xludf.DUMMYFUNCTION("""COMPUTED_VALUE"""),0.0)</f>
        <v>0</v>
      </c>
      <c r="H17" s="119">
        <f>IFERROR(__xludf.DUMMYFUNCTION("""COMPUTED_VALUE"""),111.0)</f>
        <v>111</v>
      </c>
      <c r="I17" s="119">
        <f>IFERROR(__xludf.DUMMYFUNCTION("""COMPUTED_VALUE"""),51598.0)</f>
        <v>51598</v>
      </c>
      <c r="J17" s="119">
        <f>IFERROR(__xludf.DUMMYFUNCTION("""COMPUTED_VALUE"""),51758.0)</f>
        <v>51758</v>
      </c>
      <c r="K17" s="119">
        <f>IFERROR(__xludf.DUMMYFUNCTION("""COMPUTED_VALUE"""),17000.0)</f>
        <v>17000</v>
      </c>
      <c r="L17" s="119">
        <f>IFERROR(__xludf.DUMMYFUNCTION("""COMPUTED_VALUE"""),180.0)</f>
        <v>180</v>
      </c>
      <c r="M17" s="119">
        <f>IFERROR(__xludf.DUMMYFUNCTION("""COMPUTED_VALUE"""),160.0)</f>
        <v>160</v>
      </c>
      <c r="O17" s="114"/>
      <c r="P17" s="114"/>
      <c r="Q17" s="114"/>
      <c r="R17" s="114"/>
      <c r="S17" s="114"/>
      <c r="T17" s="114"/>
    </row>
    <row r="18">
      <c r="A18" s="116">
        <f>IFERROR(__xludf.DUMMYFUNCTION("""COMPUTED_VALUE"""),45674.94212290509)</f>
        <v>45674.94212</v>
      </c>
      <c r="B18" s="117">
        <f>IFERROR(__xludf.DUMMYFUNCTION("""COMPUTED_VALUE"""),45674.0)</f>
        <v>45674</v>
      </c>
      <c r="C18" s="118" t="str">
        <f>IFERROR(__xludf.DUMMYFUNCTION("""COMPUTED_VALUE"""),"A17 RAMANTAPUR")</f>
        <v>A17 RAMANTAPUR</v>
      </c>
      <c r="D18" s="119">
        <f>IFERROR(__xludf.DUMMYFUNCTION("""COMPUTED_VALUE"""),73358.0)</f>
        <v>73358</v>
      </c>
      <c r="E18" s="119">
        <f>IFERROR(__xludf.DUMMYFUNCTION("""COMPUTED_VALUE"""),33665.0)</f>
        <v>33665</v>
      </c>
      <c r="F18" s="119">
        <f>IFERROR(__xludf.DUMMYFUNCTION("""COMPUTED_VALUE"""),19455.0)</f>
        <v>19455</v>
      </c>
      <c r="G18" s="119">
        <f>IFERROR(__xludf.DUMMYFUNCTION("""COMPUTED_VALUE"""),0.0)</f>
        <v>0</v>
      </c>
      <c r="H18" s="119">
        <f>IFERROR(__xludf.DUMMYFUNCTION("""COMPUTED_VALUE"""),1395.0)</f>
        <v>1395</v>
      </c>
      <c r="I18" s="119">
        <f>IFERROR(__xludf.DUMMYFUNCTION("""COMPUTED_VALUE"""),51759.0)</f>
        <v>51759</v>
      </c>
      <c r="J18" s="119">
        <f>IFERROR(__xludf.DUMMYFUNCTION("""COMPUTED_VALUE"""),51923.0)</f>
        <v>51923</v>
      </c>
      <c r="K18" s="119">
        <f>IFERROR(__xludf.DUMMYFUNCTION("""COMPUTED_VALUE"""),0.0)</f>
        <v>0</v>
      </c>
      <c r="L18" s="119">
        <f>IFERROR(__xludf.DUMMYFUNCTION("""COMPUTED_VALUE"""),180.0)</f>
        <v>180</v>
      </c>
      <c r="M18" s="119">
        <f>IFERROR(__xludf.DUMMYFUNCTION("""COMPUTED_VALUE"""),164.0)</f>
        <v>164</v>
      </c>
      <c r="O18" s="114"/>
      <c r="P18" s="114"/>
      <c r="Q18" s="114"/>
      <c r="R18" s="114"/>
      <c r="S18" s="114"/>
      <c r="T18" s="114"/>
    </row>
    <row r="19">
      <c r="A19" s="116">
        <f>IFERROR(__xludf.DUMMYFUNCTION("""COMPUTED_VALUE"""),45676.338910509265)</f>
        <v>45676.33891</v>
      </c>
      <c r="B19" s="117">
        <f>IFERROR(__xludf.DUMMYFUNCTION("""COMPUTED_VALUE"""),45675.0)</f>
        <v>45675</v>
      </c>
      <c r="C19" s="118" t="str">
        <f>IFERROR(__xludf.DUMMYFUNCTION("""COMPUTED_VALUE"""),"A17 RAMANTAPUR")</f>
        <v>A17 RAMANTAPUR</v>
      </c>
      <c r="D19" s="119">
        <f>IFERROR(__xludf.DUMMYFUNCTION("""COMPUTED_VALUE"""),95336.0)</f>
        <v>95336</v>
      </c>
      <c r="E19" s="119">
        <f>IFERROR(__xludf.DUMMYFUNCTION("""COMPUTED_VALUE"""),37736.0)</f>
        <v>37736</v>
      </c>
      <c r="F19" s="119">
        <f>IFERROR(__xludf.DUMMYFUNCTION("""COMPUTED_VALUE"""),25152.0)</f>
        <v>25152</v>
      </c>
      <c r="G19" s="119">
        <f>IFERROR(__xludf.DUMMYFUNCTION("""COMPUTED_VALUE"""),0.0)</f>
        <v>0</v>
      </c>
      <c r="H19" s="119">
        <f>IFERROR(__xludf.DUMMYFUNCTION("""COMPUTED_VALUE"""),1159.0)</f>
        <v>1159</v>
      </c>
      <c r="I19" s="119">
        <f>IFERROR(__xludf.DUMMYFUNCTION("""COMPUTED_VALUE"""),51924.0)</f>
        <v>51924</v>
      </c>
      <c r="J19" s="119">
        <f>IFERROR(__xludf.DUMMYFUNCTION("""COMPUTED_VALUE"""),52087.0)</f>
        <v>52087</v>
      </c>
      <c r="K19" s="119">
        <f>IFERROR(__xludf.DUMMYFUNCTION("""COMPUTED_VALUE"""),0.0)</f>
        <v>0</v>
      </c>
      <c r="L19" s="118"/>
      <c r="M19" s="119">
        <f>IFERROR(__xludf.DUMMYFUNCTION("""COMPUTED_VALUE"""),163.0)</f>
        <v>163</v>
      </c>
      <c r="O19" s="114"/>
      <c r="P19" s="114"/>
      <c r="Q19" s="114"/>
      <c r="R19" s="114"/>
      <c r="S19" s="114"/>
      <c r="T19" s="114"/>
    </row>
    <row r="20">
      <c r="A20" s="116">
        <f>IFERROR(__xludf.DUMMYFUNCTION("""COMPUTED_VALUE"""),45677.498866759255)</f>
        <v>45677.49887</v>
      </c>
      <c r="B20" s="117">
        <f>IFERROR(__xludf.DUMMYFUNCTION("""COMPUTED_VALUE"""),45676.0)</f>
        <v>45676</v>
      </c>
      <c r="C20" s="118" t="str">
        <f>IFERROR(__xludf.DUMMYFUNCTION("""COMPUTED_VALUE"""),"A17 RAMANTAPUR")</f>
        <v>A17 RAMANTAPUR</v>
      </c>
      <c r="D20" s="119">
        <f>IFERROR(__xludf.DUMMYFUNCTION("""COMPUTED_VALUE"""),49673.0)</f>
        <v>49673</v>
      </c>
      <c r="E20" s="119">
        <f>IFERROR(__xludf.DUMMYFUNCTION("""COMPUTED_VALUE"""),21579.0)</f>
        <v>21579</v>
      </c>
      <c r="F20" s="119">
        <f>IFERROR(__xludf.DUMMYFUNCTION("""COMPUTED_VALUE"""),10422.0)</f>
        <v>10422</v>
      </c>
      <c r="G20" s="119">
        <f>IFERROR(__xludf.DUMMYFUNCTION("""COMPUTED_VALUE"""),19751.0)</f>
        <v>19751</v>
      </c>
      <c r="H20" s="119">
        <f>IFERROR(__xludf.DUMMYFUNCTION("""COMPUTED_VALUE"""),0.0)</f>
        <v>0</v>
      </c>
      <c r="I20" s="119">
        <f>IFERROR(__xludf.DUMMYFUNCTION("""COMPUTED_VALUE"""),52088.0)</f>
        <v>52088</v>
      </c>
      <c r="J20" s="119">
        <f>IFERROR(__xludf.DUMMYFUNCTION("""COMPUTED_VALUE"""),52246.0)</f>
        <v>52246</v>
      </c>
      <c r="K20" s="119">
        <f>IFERROR(__xludf.DUMMYFUNCTION("""COMPUTED_VALUE"""),0.0)</f>
        <v>0</v>
      </c>
      <c r="L20" s="119">
        <f>IFERROR(__xludf.DUMMYFUNCTION("""COMPUTED_VALUE"""),110.0)</f>
        <v>110</v>
      </c>
      <c r="M20" s="119">
        <f>IFERROR(__xludf.DUMMYFUNCTION("""COMPUTED_VALUE"""),158.0)</f>
        <v>158</v>
      </c>
      <c r="O20" s="114"/>
      <c r="P20" s="114"/>
      <c r="Q20" s="114"/>
      <c r="R20" s="114"/>
      <c r="S20" s="114"/>
      <c r="T20" s="114"/>
    </row>
    <row r="21">
      <c r="A21" s="116">
        <f>IFERROR(__xludf.DUMMYFUNCTION("""COMPUTED_VALUE"""),45678.55726890046)</f>
        <v>45678.55727</v>
      </c>
      <c r="B21" s="117">
        <f>IFERROR(__xludf.DUMMYFUNCTION("""COMPUTED_VALUE"""),45677.0)</f>
        <v>45677</v>
      </c>
      <c r="C21" s="118" t="str">
        <f>IFERROR(__xludf.DUMMYFUNCTION("""COMPUTED_VALUE"""),"A17 RAMANTAPUR")</f>
        <v>A17 RAMANTAPUR</v>
      </c>
      <c r="D21" s="119">
        <f>IFERROR(__xludf.DUMMYFUNCTION("""COMPUTED_VALUE"""),107861.0)</f>
        <v>107861</v>
      </c>
      <c r="E21" s="119">
        <f>IFERROR(__xludf.DUMMYFUNCTION("""COMPUTED_VALUE"""),34397.0)</f>
        <v>34397</v>
      </c>
      <c r="F21" s="119">
        <f>IFERROR(__xludf.DUMMYFUNCTION("""COMPUTED_VALUE"""),42187.0)</f>
        <v>42187</v>
      </c>
      <c r="G21" s="119">
        <f>IFERROR(__xludf.DUMMYFUNCTION("""COMPUTED_VALUE"""),0.0)</f>
        <v>0</v>
      </c>
      <c r="H21" s="119">
        <f>IFERROR(__xludf.DUMMYFUNCTION("""COMPUTED_VALUE"""),0.0)</f>
        <v>0</v>
      </c>
      <c r="I21" s="119">
        <f>IFERROR(__xludf.DUMMYFUNCTION("""COMPUTED_VALUE"""),52247.0)</f>
        <v>52247</v>
      </c>
      <c r="J21" s="119">
        <f>IFERROR(__xludf.DUMMYFUNCTION("""COMPUTED_VALUE"""),52450.0)</f>
        <v>52450</v>
      </c>
      <c r="K21" s="119">
        <f>IFERROR(__xludf.DUMMYFUNCTION("""COMPUTED_VALUE"""),78000.0)</f>
        <v>78000</v>
      </c>
      <c r="L21" s="119">
        <f>IFERROR(__xludf.DUMMYFUNCTION("""COMPUTED_VALUE"""),171.0)</f>
        <v>171</v>
      </c>
      <c r="M21" s="119">
        <f>IFERROR(__xludf.DUMMYFUNCTION("""COMPUTED_VALUE"""),203.0)</f>
        <v>203</v>
      </c>
      <c r="O21" s="114"/>
      <c r="P21" s="114"/>
      <c r="Q21" s="114"/>
      <c r="R21" s="114"/>
      <c r="S21" s="114"/>
      <c r="T21" s="114"/>
    </row>
    <row r="22">
      <c r="A22" s="116">
        <f>IFERROR(__xludf.DUMMYFUNCTION("""COMPUTED_VALUE"""),45679.403340370365)</f>
        <v>45679.40334</v>
      </c>
      <c r="B22" s="117">
        <f>IFERROR(__xludf.DUMMYFUNCTION("""COMPUTED_VALUE"""),45678.0)</f>
        <v>45678</v>
      </c>
      <c r="C22" s="118" t="str">
        <f>IFERROR(__xludf.DUMMYFUNCTION("""COMPUTED_VALUE"""),"A17 RAMANTAPUR")</f>
        <v>A17 RAMANTAPUR</v>
      </c>
      <c r="D22" s="119">
        <f>IFERROR(__xludf.DUMMYFUNCTION("""COMPUTED_VALUE"""),99031.0)</f>
        <v>99031</v>
      </c>
      <c r="E22" s="119">
        <f>IFERROR(__xludf.DUMMYFUNCTION("""COMPUTED_VALUE"""),52627.0)</f>
        <v>52627</v>
      </c>
      <c r="F22" s="119">
        <f>IFERROR(__xludf.DUMMYFUNCTION("""COMPUTED_VALUE"""),55154.0)</f>
        <v>55154</v>
      </c>
      <c r="G22" s="119">
        <f>IFERROR(__xludf.DUMMYFUNCTION("""COMPUTED_VALUE"""),0.0)</f>
        <v>0</v>
      </c>
      <c r="H22" s="119">
        <f>IFERROR(__xludf.DUMMYFUNCTION("""COMPUTED_VALUE"""),0.0)</f>
        <v>0</v>
      </c>
      <c r="I22" s="119">
        <f>IFERROR(__xludf.DUMMYFUNCTION("""COMPUTED_VALUE"""),52451.0)</f>
        <v>52451</v>
      </c>
      <c r="J22" s="119">
        <f>IFERROR(__xludf.DUMMYFUNCTION("""COMPUTED_VALUE"""),52648.0)</f>
        <v>52648</v>
      </c>
      <c r="K22" s="119">
        <f>IFERROR(__xludf.DUMMYFUNCTION("""COMPUTED_VALUE"""),21000.0)</f>
        <v>21000</v>
      </c>
      <c r="L22" s="119">
        <f>IFERROR(__xludf.DUMMYFUNCTION("""COMPUTED_VALUE"""),150.0)</f>
        <v>150</v>
      </c>
      <c r="M22" s="119">
        <f>IFERROR(__xludf.DUMMYFUNCTION("""COMPUTED_VALUE"""),197.0)</f>
        <v>197</v>
      </c>
      <c r="O22" s="114"/>
      <c r="P22" s="114"/>
      <c r="Q22" s="114"/>
      <c r="R22" s="114"/>
      <c r="S22" s="114"/>
      <c r="T22" s="114"/>
    </row>
    <row r="23">
      <c r="O23" s="114"/>
      <c r="P23" s="114"/>
      <c r="Q23" s="114"/>
      <c r="R23" s="114"/>
      <c r="S23" s="114"/>
      <c r="T23" s="114"/>
    </row>
    <row r="24">
      <c r="O24" s="114"/>
      <c r="P24" s="114"/>
      <c r="Q24" s="114"/>
      <c r="R24" s="114"/>
      <c r="S24" s="114"/>
      <c r="T24" s="114"/>
    </row>
    <row r="25">
      <c r="O25" s="114"/>
      <c r="P25" s="114"/>
      <c r="Q25" s="114"/>
      <c r="R25" s="114"/>
      <c r="S25" s="114"/>
      <c r="T25" s="114"/>
    </row>
    <row r="26">
      <c r="O26" s="114"/>
      <c r="P26" s="114"/>
      <c r="Q26" s="114"/>
      <c r="R26" s="114"/>
      <c r="S26" s="114"/>
      <c r="T26" s="114"/>
    </row>
    <row r="27">
      <c r="O27" s="114"/>
      <c r="P27" s="114"/>
      <c r="Q27" s="114"/>
      <c r="R27" s="114"/>
      <c r="S27" s="114"/>
      <c r="T27" s="114"/>
    </row>
    <row r="28">
      <c r="O28" s="114"/>
      <c r="P28" s="114"/>
      <c r="Q28" s="114"/>
      <c r="R28" s="114"/>
      <c r="S28" s="114"/>
      <c r="T28" s="114"/>
    </row>
    <row r="29">
      <c r="O29" s="114"/>
      <c r="P29" s="114"/>
      <c r="Q29" s="114"/>
      <c r="R29" s="114"/>
      <c r="S29" s="114"/>
      <c r="T29" s="114"/>
    </row>
    <row r="30">
      <c r="O30" s="114"/>
      <c r="P30" s="114"/>
      <c r="Q30" s="114"/>
      <c r="R30" s="114"/>
      <c r="S30" s="114"/>
      <c r="T30" s="114"/>
    </row>
    <row r="31">
      <c r="O31" s="114"/>
      <c r="P31" s="114"/>
      <c r="Q31" s="114"/>
      <c r="R31" s="114"/>
      <c r="S31" s="114"/>
      <c r="T31" s="114"/>
    </row>
    <row r="32">
      <c r="A32" s="156" t="s">
        <v>40</v>
      </c>
      <c r="D32" s="157">
        <f t="shared" ref="D32:M32" si="1">sum(D2:D31)</f>
        <v>1787312</v>
      </c>
      <c r="E32" s="157">
        <f t="shared" si="1"/>
        <v>791882</v>
      </c>
      <c r="F32" s="157">
        <f t="shared" si="1"/>
        <v>493018</v>
      </c>
      <c r="G32" s="157">
        <f t="shared" si="1"/>
        <v>21855</v>
      </c>
      <c r="H32" s="157">
        <f t="shared" si="1"/>
        <v>21300</v>
      </c>
      <c r="I32" s="157">
        <f t="shared" si="1"/>
        <v>1063828</v>
      </c>
      <c r="J32" s="157">
        <f t="shared" si="1"/>
        <v>1067626</v>
      </c>
      <c r="K32" s="157">
        <f t="shared" si="1"/>
        <v>447700</v>
      </c>
      <c r="L32" s="157">
        <f t="shared" si="1"/>
        <v>4772</v>
      </c>
      <c r="M32" s="157">
        <f t="shared" si="1"/>
        <v>3798</v>
      </c>
      <c r="N32" s="158"/>
      <c r="O32" s="159"/>
      <c r="P32" s="159"/>
      <c r="Q32" s="159"/>
      <c r="R32" s="159"/>
      <c r="S32" s="159"/>
      <c r="T32" s="159"/>
      <c r="U32" s="158"/>
      <c r="V32" s="158"/>
      <c r="W32" s="158"/>
      <c r="X32" s="158"/>
      <c r="Y32" s="158"/>
      <c r="Z32" s="158"/>
    </row>
    <row r="33">
      <c r="O33" s="114"/>
      <c r="P33" s="114"/>
      <c r="Q33" s="114"/>
      <c r="R33" s="114"/>
      <c r="S33" s="114"/>
      <c r="T33" s="114"/>
    </row>
    <row r="34">
      <c r="O34" s="114"/>
      <c r="P34" s="114"/>
      <c r="Q34" s="114"/>
      <c r="R34" s="114"/>
      <c r="S34" s="114"/>
      <c r="T34" s="114"/>
    </row>
    <row r="35">
      <c r="O35" s="114"/>
      <c r="P35" s="114"/>
      <c r="Q35" s="114"/>
      <c r="R35" s="114"/>
      <c r="S35" s="114"/>
      <c r="T35" s="114"/>
    </row>
    <row r="36">
      <c r="O36" s="114"/>
      <c r="P36" s="114"/>
      <c r="Q36" s="114"/>
      <c r="R36" s="114"/>
      <c r="S36" s="114"/>
      <c r="T36" s="114"/>
    </row>
    <row r="37">
      <c r="O37" s="114"/>
      <c r="P37" s="114"/>
      <c r="Q37" s="114"/>
      <c r="R37" s="114"/>
      <c r="S37" s="114"/>
      <c r="T37" s="114"/>
    </row>
    <row r="38">
      <c r="O38" s="114"/>
      <c r="P38" s="114"/>
      <c r="Q38" s="114"/>
      <c r="R38" s="114"/>
      <c r="S38" s="114"/>
      <c r="T38" s="114"/>
    </row>
    <row r="39">
      <c r="O39" s="114"/>
      <c r="P39" s="114"/>
      <c r="Q39" s="114"/>
      <c r="R39" s="114"/>
      <c r="S39" s="114"/>
      <c r="T39" s="114"/>
    </row>
    <row r="40">
      <c r="O40" s="114"/>
      <c r="P40" s="114"/>
      <c r="Q40" s="114"/>
      <c r="R40" s="114"/>
      <c r="S40" s="114"/>
      <c r="T40" s="114"/>
    </row>
    <row r="41">
      <c r="O41" s="114"/>
      <c r="P41" s="114"/>
      <c r="Q41" s="114"/>
      <c r="R41" s="114"/>
      <c r="S41" s="114"/>
      <c r="T41" s="114"/>
    </row>
    <row r="42">
      <c r="O42" s="114"/>
      <c r="P42" s="114"/>
      <c r="Q42" s="114"/>
      <c r="R42" s="114"/>
      <c r="S42" s="114"/>
      <c r="T42" s="114"/>
    </row>
    <row r="43">
      <c r="O43" s="114"/>
      <c r="P43" s="114"/>
      <c r="Q43" s="114"/>
      <c r="R43" s="114"/>
      <c r="S43" s="114"/>
      <c r="T43" s="114"/>
    </row>
    <row r="44">
      <c r="O44" s="114"/>
      <c r="P44" s="114"/>
      <c r="Q44" s="114"/>
      <c r="R44" s="114"/>
      <c r="S44" s="114"/>
      <c r="T44" s="114"/>
    </row>
    <row r="45">
      <c r="O45" s="114"/>
      <c r="P45" s="114"/>
      <c r="Q45" s="114"/>
      <c r="R45" s="114"/>
      <c r="S45" s="114"/>
      <c r="T45" s="114"/>
    </row>
    <row r="46">
      <c r="O46" s="114"/>
      <c r="P46" s="114"/>
      <c r="Q46" s="114"/>
      <c r="R46" s="114"/>
      <c r="S46" s="114"/>
      <c r="T46" s="114"/>
    </row>
    <row r="47">
      <c r="O47" s="114"/>
      <c r="P47" s="114"/>
      <c r="Q47" s="114"/>
      <c r="R47" s="114"/>
      <c r="S47" s="114"/>
      <c r="T47" s="114"/>
    </row>
    <row r="48">
      <c r="O48" s="114"/>
      <c r="P48" s="114"/>
      <c r="Q48" s="114"/>
      <c r="R48" s="114"/>
      <c r="S48" s="114"/>
      <c r="T48" s="114"/>
    </row>
    <row r="49">
      <c r="O49" s="114"/>
      <c r="P49" s="114"/>
      <c r="Q49" s="114"/>
      <c r="R49" s="114"/>
      <c r="S49" s="114"/>
      <c r="T49" s="114"/>
    </row>
    <row r="50">
      <c r="O50" s="114"/>
      <c r="P50" s="114"/>
      <c r="Q50" s="114"/>
      <c r="R50" s="114"/>
      <c r="S50" s="114"/>
      <c r="T50" s="114"/>
    </row>
    <row r="51">
      <c r="O51" s="114"/>
      <c r="P51" s="114"/>
      <c r="Q51" s="114"/>
      <c r="R51" s="114"/>
      <c r="S51" s="114"/>
      <c r="T51" s="114"/>
    </row>
    <row r="52">
      <c r="O52" s="114"/>
      <c r="P52" s="114"/>
      <c r="Q52" s="114"/>
      <c r="R52" s="114"/>
      <c r="S52" s="114"/>
      <c r="T52" s="114"/>
    </row>
    <row r="53">
      <c r="O53" s="114"/>
      <c r="P53" s="114"/>
      <c r="Q53" s="114"/>
      <c r="R53" s="114"/>
      <c r="S53" s="114"/>
      <c r="T53" s="114"/>
    </row>
    <row r="54">
      <c r="O54" s="114"/>
      <c r="P54" s="114"/>
      <c r="Q54" s="114"/>
      <c r="R54" s="114"/>
      <c r="S54" s="114"/>
      <c r="T54" s="114"/>
    </row>
    <row r="55">
      <c r="O55" s="114"/>
      <c r="P55" s="114"/>
      <c r="Q55" s="114"/>
      <c r="R55" s="114"/>
      <c r="S55" s="114"/>
      <c r="T55" s="114"/>
    </row>
    <row r="56">
      <c r="O56" s="114"/>
      <c r="P56" s="114"/>
      <c r="Q56" s="114"/>
      <c r="R56" s="114"/>
      <c r="S56" s="114"/>
      <c r="T56" s="114"/>
    </row>
    <row r="57">
      <c r="O57" s="114"/>
      <c r="P57" s="114"/>
      <c r="Q57" s="114"/>
      <c r="R57" s="114"/>
      <c r="S57" s="114"/>
      <c r="T57" s="114"/>
    </row>
    <row r="58">
      <c r="O58" s="114"/>
      <c r="P58" s="114"/>
      <c r="Q58" s="114"/>
      <c r="R58" s="114"/>
      <c r="S58" s="114"/>
      <c r="T58" s="114"/>
    </row>
    <row r="59">
      <c r="O59" s="114"/>
      <c r="P59" s="114"/>
      <c r="Q59" s="114"/>
      <c r="R59" s="114"/>
      <c r="S59" s="114"/>
      <c r="T59" s="114"/>
    </row>
    <row r="60">
      <c r="O60" s="114"/>
      <c r="P60" s="114"/>
      <c r="Q60" s="114"/>
      <c r="R60" s="114"/>
      <c r="S60" s="114"/>
      <c r="T60" s="114"/>
    </row>
    <row r="61">
      <c r="O61" s="114"/>
      <c r="P61" s="114"/>
      <c r="Q61" s="114"/>
      <c r="R61" s="114"/>
      <c r="S61" s="114"/>
      <c r="T61" s="114"/>
    </row>
    <row r="62">
      <c r="O62" s="114"/>
      <c r="P62" s="114"/>
      <c r="Q62" s="114"/>
      <c r="R62" s="114"/>
      <c r="S62" s="114"/>
      <c r="T62" s="114"/>
    </row>
    <row r="63">
      <c r="O63" s="114"/>
      <c r="P63" s="114"/>
      <c r="Q63" s="114"/>
      <c r="R63" s="114"/>
      <c r="S63" s="114"/>
      <c r="T63" s="114"/>
    </row>
    <row r="64">
      <c r="O64" s="114"/>
      <c r="P64" s="114"/>
      <c r="Q64" s="114"/>
      <c r="R64" s="114"/>
      <c r="S64" s="114"/>
      <c r="T64" s="114"/>
    </row>
    <row r="65">
      <c r="O65" s="114"/>
      <c r="P65" s="114"/>
      <c r="Q65" s="114"/>
      <c r="R65" s="114"/>
      <c r="S65" s="114"/>
      <c r="T65" s="114"/>
    </row>
    <row r="66">
      <c r="O66" s="114"/>
      <c r="P66" s="114"/>
      <c r="Q66" s="114"/>
      <c r="R66" s="114"/>
      <c r="S66" s="114"/>
      <c r="T66" s="114"/>
    </row>
    <row r="67">
      <c r="O67" s="114"/>
      <c r="P67" s="114"/>
      <c r="Q67" s="114"/>
      <c r="R67" s="114"/>
      <c r="S67" s="114"/>
      <c r="T67" s="114"/>
    </row>
    <row r="68">
      <c r="O68" s="114"/>
      <c r="P68" s="114"/>
      <c r="Q68" s="114"/>
      <c r="R68" s="114"/>
      <c r="S68" s="114"/>
      <c r="T68" s="114"/>
    </row>
    <row r="69">
      <c r="O69" s="114"/>
      <c r="P69" s="114"/>
      <c r="Q69" s="114"/>
      <c r="R69" s="114"/>
      <c r="S69" s="114"/>
      <c r="T69" s="114"/>
    </row>
    <row r="70">
      <c r="O70" s="114"/>
      <c r="P70" s="114"/>
      <c r="Q70" s="114"/>
      <c r="R70" s="114"/>
      <c r="S70" s="114"/>
      <c r="T70" s="114"/>
    </row>
    <row r="71">
      <c r="O71" s="114"/>
      <c r="P71" s="114"/>
      <c r="Q71" s="114"/>
      <c r="R71" s="114"/>
      <c r="S71" s="114"/>
      <c r="T71" s="114"/>
    </row>
    <row r="72">
      <c r="O72" s="114"/>
      <c r="P72" s="114"/>
      <c r="Q72" s="114"/>
      <c r="R72" s="114"/>
      <c r="S72" s="114"/>
      <c r="T72" s="114"/>
    </row>
    <row r="73">
      <c r="O73" s="114"/>
      <c r="P73" s="114"/>
      <c r="Q73" s="114"/>
      <c r="R73" s="114"/>
      <c r="S73" s="114"/>
      <c r="T73" s="114"/>
    </row>
    <row r="74">
      <c r="O74" s="114"/>
      <c r="P74" s="114"/>
      <c r="Q74" s="114"/>
      <c r="R74" s="114"/>
      <c r="S74" s="114"/>
      <c r="T74" s="114"/>
    </row>
    <row r="75">
      <c r="O75" s="114"/>
      <c r="P75" s="114"/>
      <c r="Q75" s="114"/>
      <c r="R75" s="114"/>
      <c r="S75" s="114"/>
      <c r="T75" s="114"/>
    </row>
    <row r="76">
      <c r="O76" s="114"/>
      <c r="P76" s="114"/>
      <c r="Q76" s="114"/>
      <c r="R76" s="114"/>
      <c r="S76" s="114"/>
      <c r="T76" s="114"/>
    </row>
    <row r="77">
      <c r="O77" s="114"/>
      <c r="P77" s="114"/>
      <c r="Q77" s="114"/>
      <c r="R77" s="114"/>
      <c r="S77" s="114"/>
      <c r="T77" s="114"/>
    </row>
    <row r="78">
      <c r="O78" s="114"/>
      <c r="P78" s="114"/>
      <c r="Q78" s="114"/>
      <c r="R78" s="114"/>
      <c r="S78" s="114"/>
      <c r="T78" s="114"/>
    </row>
    <row r="79">
      <c r="O79" s="114"/>
      <c r="P79" s="114"/>
      <c r="Q79" s="114"/>
      <c r="R79" s="114"/>
      <c r="S79" s="114"/>
      <c r="T79" s="114"/>
    </row>
    <row r="80">
      <c r="O80" s="114"/>
      <c r="P80" s="114"/>
      <c r="Q80" s="114"/>
      <c r="R80" s="114"/>
      <c r="S80" s="114"/>
      <c r="T80" s="114"/>
    </row>
    <row r="81">
      <c r="O81" s="114"/>
      <c r="P81" s="114"/>
      <c r="Q81" s="114"/>
      <c r="R81" s="114"/>
      <c r="S81" s="114"/>
      <c r="T81" s="114"/>
    </row>
    <row r="82">
      <c r="O82" s="114"/>
      <c r="P82" s="114"/>
      <c r="Q82" s="114"/>
      <c r="R82" s="114"/>
      <c r="S82" s="114"/>
      <c r="T82" s="114"/>
    </row>
    <row r="83">
      <c r="O83" s="114"/>
      <c r="P83" s="114"/>
      <c r="Q83" s="114"/>
      <c r="R83" s="114"/>
      <c r="S83" s="114"/>
      <c r="T83" s="114"/>
    </row>
    <row r="84">
      <c r="O84" s="114"/>
      <c r="P84" s="114"/>
      <c r="Q84" s="114"/>
      <c r="R84" s="114"/>
      <c r="S84" s="114"/>
      <c r="T84" s="114"/>
    </row>
    <row r="85">
      <c r="O85" s="114"/>
      <c r="P85" s="114"/>
      <c r="Q85" s="114"/>
      <c r="R85" s="114"/>
      <c r="S85" s="114"/>
      <c r="T85" s="114"/>
    </row>
    <row r="86">
      <c r="O86" s="114"/>
      <c r="P86" s="114"/>
      <c r="Q86" s="114"/>
      <c r="R86" s="114"/>
      <c r="S86" s="114"/>
      <c r="T86" s="114"/>
    </row>
    <row r="87">
      <c r="O87" s="114"/>
      <c r="P87" s="114"/>
      <c r="Q87" s="114"/>
      <c r="R87" s="114"/>
      <c r="S87" s="114"/>
      <c r="T87" s="114"/>
    </row>
    <row r="88">
      <c r="O88" s="114"/>
      <c r="P88" s="114"/>
      <c r="Q88" s="114"/>
      <c r="R88" s="114"/>
      <c r="S88" s="114"/>
      <c r="T88" s="114"/>
    </row>
    <row r="89">
      <c r="O89" s="114"/>
      <c r="P89" s="114"/>
      <c r="Q89" s="114"/>
      <c r="R89" s="114"/>
      <c r="S89" s="114"/>
      <c r="T89" s="114"/>
    </row>
    <row r="90">
      <c r="O90" s="114"/>
      <c r="P90" s="114"/>
      <c r="Q90" s="114"/>
      <c r="R90" s="114"/>
      <c r="S90" s="114"/>
      <c r="T90" s="114"/>
    </row>
    <row r="91">
      <c r="O91" s="114"/>
      <c r="P91" s="114"/>
      <c r="Q91" s="114"/>
      <c r="R91" s="114"/>
      <c r="S91" s="114"/>
      <c r="T91" s="114"/>
    </row>
    <row r="92">
      <c r="O92" s="114"/>
      <c r="P92" s="114"/>
      <c r="Q92" s="114"/>
      <c r="R92" s="114"/>
      <c r="S92" s="114"/>
      <c r="T92" s="114"/>
    </row>
    <row r="93">
      <c r="O93" s="114"/>
      <c r="P93" s="114"/>
      <c r="Q93" s="114"/>
      <c r="R93" s="114"/>
      <c r="S93" s="114"/>
      <c r="T93" s="114"/>
    </row>
    <row r="94">
      <c r="O94" s="114"/>
      <c r="P94" s="114"/>
      <c r="Q94" s="114"/>
      <c r="R94" s="114"/>
      <c r="S94" s="114"/>
      <c r="T94" s="114"/>
    </row>
    <row r="95">
      <c r="O95" s="114"/>
      <c r="P95" s="114"/>
      <c r="Q95" s="114"/>
      <c r="R95" s="114"/>
      <c r="S95" s="114"/>
      <c r="T95" s="114"/>
    </row>
    <row r="96">
      <c r="O96" s="114"/>
      <c r="P96" s="114"/>
      <c r="Q96" s="114"/>
      <c r="R96" s="114"/>
      <c r="S96" s="114"/>
      <c r="T96" s="114"/>
    </row>
    <row r="97">
      <c r="O97" s="114"/>
      <c r="P97" s="114"/>
      <c r="Q97" s="114"/>
      <c r="R97" s="114"/>
      <c r="S97" s="114"/>
      <c r="T97" s="114"/>
    </row>
    <row r="98">
      <c r="O98" s="114"/>
      <c r="P98" s="114"/>
      <c r="Q98" s="114"/>
      <c r="R98" s="114"/>
      <c r="S98" s="114"/>
      <c r="T98" s="114"/>
    </row>
    <row r="99">
      <c r="O99" s="114"/>
      <c r="P99" s="114"/>
      <c r="Q99" s="114"/>
      <c r="R99" s="114"/>
      <c r="S99" s="114"/>
      <c r="T99" s="114"/>
    </row>
    <row r="100">
      <c r="O100" s="114"/>
      <c r="P100" s="114"/>
      <c r="Q100" s="114"/>
      <c r="R100" s="114"/>
      <c r="S100" s="114"/>
      <c r="T100" s="114"/>
    </row>
    <row r="101">
      <c r="O101" s="114"/>
      <c r="P101" s="114"/>
      <c r="Q101" s="114"/>
      <c r="R101" s="114"/>
      <c r="S101" s="114"/>
      <c r="T101" s="114"/>
    </row>
    <row r="102">
      <c r="O102" s="114"/>
      <c r="P102" s="114"/>
      <c r="Q102" s="114"/>
      <c r="R102" s="114"/>
      <c r="S102" s="114"/>
      <c r="T102" s="114"/>
    </row>
    <row r="103">
      <c r="O103" s="114"/>
      <c r="P103" s="114"/>
      <c r="Q103" s="114"/>
      <c r="R103" s="114"/>
      <c r="S103" s="114"/>
      <c r="T103" s="114"/>
    </row>
    <row r="104">
      <c r="O104" s="114"/>
      <c r="P104" s="114"/>
      <c r="Q104" s="114"/>
      <c r="R104" s="114"/>
      <c r="S104" s="114"/>
      <c r="T104" s="114"/>
    </row>
    <row r="105">
      <c r="O105" s="114"/>
      <c r="P105" s="114"/>
      <c r="Q105" s="114"/>
      <c r="R105" s="114"/>
      <c r="S105" s="114"/>
      <c r="T105" s="114"/>
    </row>
    <row r="106">
      <c r="O106" s="114"/>
      <c r="P106" s="114"/>
      <c r="Q106" s="114"/>
      <c r="R106" s="114"/>
      <c r="S106" s="114"/>
      <c r="T106" s="114"/>
    </row>
    <row r="107">
      <c r="O107" s="114"/>
      <c r="P107" s="114"/>
      <c r="Q107" s="114"/>
      <c r="R107" s="114"/>
      <c r="S107" s="114"/>
      <c r="T107" s="114"/>
    </row>
    <row r="108">
      <c r="O108" s="114"/>
      <c r="P108" s="114"/>
      <c r="Q108" s="114"/>
      <c r="R108" s="114"/>
      <c r="S108" s="114"/>
      <c r="T108" s="114"/>
    </row>
    <row r="109">
      <c r="O109" s="114"/>
      <c r="P109" s="114"/>
      <c r="Q109" s="114"/>
      <c r="R109" s="114"/>
      <c r="S109" s="114"/>
      <c r="T109" s="114"/>
    </row>
    <row r="110">
      <c r="O110" s="114"/>
      <c r="P110" s="114"/>
      <c r="Q110" s="114"/>
      <c r="R110" s="114"/>
      <c r="S110" s="114"/>
      <c r="T110" s="114"/>
    </row>
    <row r="111">
      <c r="O111" s="114"/>
      <c r="P111" s="114"/>
      <c r="Q111" s="114"/>
      <c r="R111" s="114"/>
      <c r="S111" s="114"/>
      <c r="T111" s="114"/>
    </row>
    <row r="112">
      <c r="O112" s="114"/>
      <c r="P112" s="114"/>
      <c r="Q112" s="114"/>
      <c r="R112" s="114"/>
      <c r="S112" s="114"/>
      <c r="T112" s="114"/>
    </row>
    <row r="113">
      <c r="O113" s="114"/>
      <c r="P113" s="114"/>
      <c r="Q113" s="114"/>
      <c r="R113" s="114"/>
      <c r="S113" s="114"/>
      <c r="T113" s="114"/>
    </row>
    <row r="114">
      <c r="O114" s="114"/>
      <c r="P114" s="114"/>
      <c r="Q114" s="114"/>
      <c r="R114" s="114"/>
      <c r="S114" s="114"/>
      <c r="T114" s="114"/>
    </row>
    <row r="115">
      <c r="O115" s="114"/>
      <c r="P115" s="114"/>
      <c r="Q115" s="114"/>
      <c r="R115" s="114"/>
      <c r="S115" s="114"/>
      <c r="T115" s="114"/>
    </row>
    <row r="116">
      <c r="O116" s="114"/>
      <c r="P116" s="114"/>
      <c r="Q116" s="114"/>
      <c r="R116" s="114"/>
      <c r="S116" s="114"/>
      <c r="T116" s="114"/>
    </row>
    <row r="117">
      <c r="O117" s="114"/>
      <c r="P117" s="114"/>
      <c r="Q117" s="114"/>
      <c r="R117" s="114"/>
      <c r="S117" s="114"/>
      <c r="T117" s="114"/>
    </row>
    <row r="118">
      <c r="O118" s="114"/>
      <c r="P118" s="114"/>
      <c r="Q118" s="114"/>
      <c r="R118" s="114"/>
      <c r="S118" s="114"/>
      <c r="T118" s="114"/>
    </row>
    <row r="119">
      <c r="O119" s="114"/>
      <c r="P119" s="114"/>
      <c r="Q119" s="114"/>
      <c r="R119" s="114"/>
      <c r="S119" s="114"/>
      <c r="T119" s="114"/>
    </row>
    <row r="120">
      <c r="O120" s="114"/>
      <c r="P120" s="114"/>
      <c r="Q120" s="114"/>
      <c r="R120" s="114"/>
      <c r="S120" s="114"/>
      <c r="T120" s="114"/>
    </row>
    <row r="121">
      <c r="O121" s="114"/>
      <c r="P121" s="114"/>
      <c r="Q121" s="114"/>
      <c r="R121" s="114"/>
      <c r="S121" s="114"/>
      <c r="T121" s="114"/>
    </row>
    <row r="122">
      <c r="O122" s="114"/>
      <c r="P122" s="114"/>
      <c r="Q122" s="114"/>
      <c r="R122" s="114"/>
      <c r="S122" s="114"/>
      <c r="T122" s="114"/>
    </row>
    <row r="123">
      <c r="O123" s="114"/>
      <c r="P123" s="114"/>
      <c r="Q123" s="114"/>
      <c r="R123" s="114"/>
      <c r="S123" s="114"/>
      <c r="T123" s="114"/>
    </row>
    <row r="124">
      <c r="O124" s="114"/>
      <c r="P124" s="114"/>
      <c r="Q124" s="114"/>
      <c r="R124" s="114"/>
      <c r="S124" s="114"/>
      <c r="T124" s="114"/>
    </row>
    <row r="125">
      <c r="O125" s="114"/>
      <c r="P125" s="114"/>
      <c r="Q125" s="114"/>
      <c r="R125" s="114"/>
      <c r="S125" s="114"/>
      <c r="T125" s="114"/>
    </row>
    <row r="126">
      <c r="O126" s="114"/>
      <c r="P126" s="114"/>
      <c r="Q126" s="114"/>
      <c r="R126" s="114"/>
      <c r="S126" s="114"/>
      <c r="T126" s="114"/>
    </row>
    <row r="127">
      <c r="O127" s="114"/>
      <c r="P127" s="114"/>
      <c r="Q127" s="114"/>
      <c r="R127" s="114"/>
      <c r="S127" s="114"/>
      <c r="T127" s="114"/>
    </row>
    <row r="128">
      <c r="O128" s="114"/>
      <c r="P128" s="114"/>
      <c r="Q128" s="114"/>
      <c r="R128" s="114"/>
      <c r="S128" s="114"/>
      <c r="T128" s="114"/>
    </row>
    <row r="129">
      <c r="O129" s="114"/>
      <c r="P129" s="114"/>
      <c r="Q129" s="114"/>
      <c r="R129" s="114"/>
      <c r="S129" s="114"/>
      <c r="T129" s="114"/>
    </row>
    <row r="130">
      <c r="O130" s="114"/>
      <c r="P130" s="114"/>
      <c r="Q130" s="114"/>
      <c r="R130" s="114"/>
      <c r="S130" s="114"/>
      <c r="T130" s="114"/>
    </row>
    <row r="131">
      <c r="O131" s="114"/>
      <c r="P131" s="114"/>
      <c r="Q131" s="114"/>
      <c r="R131" s="114"/>
      <c r="S131" s="114"/>
      <c r="T131" s="114"/>
    </row>
    <row r="132">
      <c r="O132" s="114"/>
      <c r="P132" s="114"/>
      <c r="Q132" s="114"/>
      <c r="R132" s="114"/>
      <c r="S132" s="114"/>
      <c r="T132" s="114"/>
    </row>
    <row r="133">
      <c r="O133" s="114"/>
      <c r="P133" s="114"/>
      <c r="Q133" s="114"/>
      <c r="R133" s="114"/>
      <c r="S133" s="114"/>
      <c r="T133" s="114"/>
    </row>
    <row r="134">
      <c r="O134" s="114"/>
      <c r="P134" s="114"/>
      <c r="Q134" s="114"/>
      <c r="R134" s="114"/>
      <c r="S134" s="114"/>
      <c r="T134" s="114"/>
    </row>
    <row r="135">
      <c r="O135" s="114"/>
      <c r="P135" s="114"/>
      <c r="Q135" s="114"/>
      <c r="R135" s="114"/>
      <c r="S135" s="114"/>
      <c r="T135" s="114"/>
    </row>
    <row r="136">
      <c r="O136" s="114"/>
      <c r="P136" s="114"/>
      <c r="Q136" s="114"/>
      <c r="R136" s="114"/>
      <c r="S136" s="114"/>
      <c r="T136" s="114"/>
    </row>
    <row r="137">
      <c r="O137" s="114"/>
      <c r="P137" s="114"/>
      <c r="Q137" s="114"/>
      <c r="R137" s="114"/>
      <c r="S137" s="114"/>
      <c r="T137" s="114"/>
    </row>
    <row r="138">
      <c r="O138" s="114"/>
      <c r="P138" s="114"/>
      <c r="Q138" s="114"/>
      <c r="R138" s="114"/>
      <c r="S138" s="114"/>
      <c r="T138" s="114"/>
    </row>
    <row r="139">
      <c r="O139" s="114"/>
      <c r="P139" s="114"/>
      <c r="Q139" s="114"/>
      <c r="R139" s="114"/>
      <c r="S139" s="114"/>
      <c r="T139" s="114"/>
    </row>
    <row r="140">
      <c r="O140" s="114"/>
      <c r="P140" s="114"/>
      <c r="Q140" s="114"/>
      <c r="R140" s="114"/>
      <c r="S140" s="114"/>
      <c r="T140" s="114"/>
    </row>
    <row r="141">
      <c r="O141" s="114"/>
      <c r="P141" s="114"/>
      <c r="Q141" s="114"/>
      <c r="R141" s="114"/>
      <c r="S141" s="114"/>
      <c r="T141" s="114"/>
    </row>
    <row r="142">
      <c r="O142" s="114"/>
      <c r="P142" s="114"/>
      <c r="Q142" s="114"/>
      <c r="R142" s="114"/>
      <c r="S142" s="114"/>
      <c r="T142" s="114"/>
    </row>
    <row r="143">
      <c r="O143" s="114"/>
      <c r="P143" s="114"/>
      <c r="Q143" s="114"/>
      <c r="R143" s="114"/>
      <c r="S143" s="114"/>
      <c r="T143" s="114"/>
    </row>
    <row r="144">
      <c r="O144" s="114"/>
      <c r="P144" s="114"/>
      <c r="Q144" s="114"/>
      <c r="R144" s="114"/>
      <c r="S144" s="114"/>
      <c r="T144" s="114"/>
    </row>
    <row r="145">
      <c r="O145" s="114"/>
      <c r="P145" s="114"/>
      <c r="Q145" s="114"/>
      <c r="R145" s="114"/>
      <c r="S145" s="114"/>
      <c r="T145" s="114"/>
    </row>
    <row r="146">
      <c r="O146" s="114"/>
      <c r="P146" s="114"/>
      <c r="Q146" s="114"/>
      <c r="R146" s="114"/>
      <c r="S146" s="114"/>
      <c r="T146" s="114"/>
    </row>
    <row r="147">
      <c r="O147" s="114"/>
      <c r="P147" s="114"/>
      <c r="Q147" s="114"/>
      <c r="R147" s="114"/>
      <c r="S147" s="114"/>
      <c r="T147" s="114"/>
    </row>
    <row r="148">
      <c r="O148" s="114"/>
      <c r="P148" s="114"/>
      <c r="Q148" s="114"/>
      <c r="R148" s="114"/>
      <c r="S148" s="114"/>
      <c r="T148" s="114"/>
    </row>
    <row r="149">
      <c r="O149" s="114"/>
      <c r="P149" s="114"/>
      <c r="Q149" s="114"/>
      <c r="R149" s="114"/>
      <c r="S149" s="114"/>
      <c r="T149" s="114"/>
    </row>
    <row r="150">
      <c r="O150" s="114"/>
      <c r="P150" s="114"/>
      <c r="Q150" s="114"/>
      <c r="R150" s="114"/>
      <c r="S150" s="114"/>
      <c r="T150" s="114"/>
    </row>
    <row r="151">
      <c r="O151" s="114"/>
      <c r="P151" s="114"/>
      <c r="Q151" s="114"/>
      <c r="R151" s="114"/>
      <c r="S151" s="114"/>
      <c r="T151" s="114"/>
    </row>
    <row r="152">
      <c r="O152" s="114"/>
      <c r="P152" s="114"/>
      <c r="Q152" s="114"/>
      <c r="R152" s="114"/>
      <c r="S152" s="114"/>
      <c r="T152" s="114"/>
    </row>
    <row r="153">
      <c r="O153" s="114"/>
      <c r="P153" s="114"/>
      <c r="Q153" s="114"/>
      <c r="R153" s="114"/>
      <c r="S153" s="114"/>
      <c r="T153" s="114"/>
    </row>
    <row r="154">
      <c r="O154" s="114"/>
      <c r="P154" s="114"/>
      <c r="Q154" s="114"/>
      <c r="R154" s="114"/>
      <c r="S154" s="114"/>
      <c r="T154" s="114"/>
    </row>
    <row r="155">
      <c r="O155" s="114"/>
      <c r="P155" s="114"/>
      <c r="Q155" s="114"/>
      <c r="R155" s="114"/>
      <c r="S155" s="114"/>
      <c r="T155" s="114"/>
    </row>
    <row r="156">
      <c r="O156" s="114"/>
      <c r="P156" s="114"/>
      <c r="Q156" s="114"/>
      <c r="R156" s="114"/>
      <c r="S156" s="114"/>
      <c r="T156" s="114"/>
    </row>
    <row r="157">
      <c r="O157" s="114"/>
      <c r="P157" s="114"/>
      <c r="Q157" s="114"/>
      <c r="R157" s="114"/>
      <c r="S157" s="114"/>
      <c r="T157" s="114"/>
    </row>
    <row r="158">
      <c r="O158" s="114"/>
      <c r="P158" s="114"/>
      <c r="Q158" s="114"/>
      <c r="R158" s="114"/>
      <c r="S158" s="114"/>
      <c r="T158" s="114"/>
    </row>
    <row r="159">
      <c r="O159" s="114"/>
      <c r="P159" s="114"/>
      <c r="Q159" s="114"/>
      <c r="R159" s="114"/>
      <c r="S159" s="114"/>
      <c r="T159" s="114"/>
    </row>
    <row r="160">
      <c r="O160" s="114"/>
      <c r="P160" s="114"/>
      <c r="Q160" s="114"/>
      <c r="R160" s="114"/>
      <c r="S160" s="114"/>
      <c r="T160" s="114"/>
    </row>
    <row r="161">
      <c r="O161" s="114"/>
      <c r="P161" s="114"/>
      <c r="Q161" s="114"/>
      <c r="R161" s="114"/>
      <c r="S161" s="114"/>
      <c r="T161" s="114"/>
    </row>
    <row r="162">
      <c r="O162" s="114"/>
      <c r="P162" s="114"/>
      <c r="Q162" s="114"/>
      <c r="R162" s="114"/>
      <c r="S162" s="114"/>
      <c r="T162" s="114"/>
    </row>
    <row r="163">
      <c r="O163" s="114"/>
      <c r="P163" s="114"/>
      <c r="Q163" s="114"/>
      <c r="R163" s="114"/>
      <c r="S163" s="114"/>
      <c r="T163" s="114"/>
    </row>
    <row r="164">
      <c r="O164" s="114"/>
      <c r="P164" s="114"/>
      <c r="Q164" s="114"/>
      <c r="R164" s="114"/>
      <c r="S164" s="114"/>
      <c r="T164" s="114"/>
    </row>
    <row r="165">
      <c r="O165" s="114"/>
      <c r="P165" s="114"/>
      <c r="Q165" s="114"/>
      <c r="R165" s="114"/>
      <c r="S165" s="114"/>
      <c r="T165" s="114"/>
    </row>
    <row r="166">
      <c r="O166" s="114"/>
      <c r="P166" s="114"/>
      <c r="Q166" s="114"/>
      <c r="R166" s="114"/>
      <c r="S166" s="114"/>
      <c r="T166" s="114"/>
    </row>
    <row r="167">
      <c r="O167" s="114"/>
      <c r="P167" s="114"/>
      <c r="Q167" s="114"/>
      <c r="R167" s="114"/>
      <c r="S167" s="114"/>
      <c r="T167" s="114"/>
    </row>
    <row r="168">
      <c r="O168" s="114"/>
      <c r="P168" s="114"/>
      <c r="Q168" s="114"/>
      <c r="R168" s="114"/>
      <c r="S168" s="114"/>
      <c r="T168" s="114"/>
    </row>
    <row r="169">
      <c r="O169" s="114"/>
      <c r="P169" s="114"/>
      <c r="Q169" s="114"/>
      <c r="R169" s="114"/>
      <c r="S169" s="114"/>
      <c r="T169" s="114"/>
    </row>
    <row r="170">
      <c r="O170" s="114"/>
      <c r="P170" s="114"/>
      <c r="Q170" s="114"/>
      <c r="R170" s="114"/>
      <c r="S170" s="114"/>
      <c r="T170" s="114"/>
    </row>
    <row r="171">
      <c r="O171" s="114"/>
      <c r="P171" s="114"/>
      <c r="Q171" s="114"/>
      <c r="R171" s="114"/>
      <c r="S171" s="114"/>
      <c r="T171" s="114"/>
    </row>
    <row r="172">
      <c r="O172" s="114"/>
      <c r="P172" s="114"/>
      <c r="Q172" s="114"/>
      <c r="R172" s="114"/>
      <c r="S172" s="114"/>
      <c r="T172" s="114"/>
    </row>
    <row r="173">
      <c r="O173" s="114"/>
      <c r="P173" s="114"/>
      <c r="Q173" s="114"/>
      <c r="R173" s="114"/>
      <c r="S173" s="114"/>
      <c r="T173" s="114"/>
    </row>
    <row r="174">
      <c r="O174" s="114"/>
      <c r="P174" s="114"/>
      <c r="Q174" s="114"/>
      <c r="R174" s="114"/>
      <c r="S174" s="114"/>
      <c r="T174" s="114"/>
    </row>
    <row r="175">
      <c r="O175" s="114"/>
      <c r="P175" s="114"/>
      <c r="Q175" s="114"/>
      <c r="R175" s="114"/>
      <c r="S175" s="114"/>
      <c r="T175" s="114"/>
    </row>
    <row r="176">
      <c r="O176" s="114"/>
      <c r="P176" s="114"/>
      <c r="Q176" s="114"/>
      <c r="R176" s="114"/>
      <c r="S176" s="114"/>
      <c r="T176" s="114"/>
    </row>
    <row r="177">
      <c r="O177" s="114"/>
      <c r="P177" s="114"/>
      <c r="Q177" s="114"/>
      <c r="R177" s="114"/>
      <c r="S177" s="114"/>
      <c r="T177" s="114"/>
    </row>
    <row r="178">
      <c r="O178" s="114"/>
      <c r="P178" s="114"/>
      <c r="Q178" s="114"/>
      <c r="R178" s="114"/>
      <c r="S178" s="114"/>
      <c r="T178" s="114"/>
    </row>
    <row r="179">
      <c r="O179" s="114"/>
      <c r="P179" s="114"/>
      <c r="Q179" s="114"/>
      <c r="R179" s="114"/>
      <c r="S179" s="114"/>
      <c r="T179" s="114"/>
    </row>
    <row r="180">
      <c r="O180" s="114"/>
      <c r="P180" s="114"/>
      <c r="Q180" s="114"/>
      <c r="R180" s="114"/>
      <c r="S180" s="114"/>
      <c r="T180" s="114"/>
    </row>
    <row r="181">
      <c r="O181" s="114"/>
      <c r="P181" s="114"/>
      <c r="Q181" s="114"/>
      <c r="R181" s="114"/>
      <c r="S181" s="114"/>
      <c r="T181" s="114"/>
    </row>
    <row r="182">
      <c r="O182" s="114"/>
      <c r="P182" s="114"/>
      <c r="Q182" s="114"/>
      <c r="R182" s="114"/>
      <c r="S182" s="114"/>
      <c r="T182" s="114"/>
    </row>
    <row r="183">
      <c r="O183" s="114"/>
      <c r="P183" s="114"/>
      <c r="Q183" s="114"/>
      <c r="R183" s="114"/>
      <c r="S183" s="114"/>
      <c r="T183" s="114"/>
    </row>
    <row r="184">
      <c r="O184" s="114"/>
      <c r="P184" s="114"/>
      <c r="Q184" s="114"/>
      <c r="R184" s="114"/>
      <c r="S184" s="114"/>
      <c r="T184" s="114"/>
    </row>
    <row r="185">
      <c r="O185" s="114"/>
      <c r="P185" s="114"/>
      <c r="Q185" s="114"/>
      <c r="R185" s="114"/>
      <c r="S185" s="114"/>
      <c r="T185" s="114"/>
    </row>
    <row r="186">
      <c r="O186" s="114"/>
      <c r="P186" s="114"/>
      <c r="Q186" s="114"/>
      <c r="R186" s="114"/>
      <c r="S186" s="114"/>
      <c r="T186" s="114"/>
    </row>
    <row r="187">
      <c r="O187" s="114"/>
      <c r="P187" s="114"/>
      <c r="Q187" s="114"/>
      <c r="R187" s="114"/>
      <c r="S187" s="114"/>
      <c r="T187" s="114"/>
    </row>
    <row r="188">
      <c r="O188" s="114"/>
      <c r="P188" s="114"/>
      <c r="Q188" s="114"/>
      <c r="R188" s="114"/>
      <c r="S188" s="114"/>
      <c r="T188" s="114"/>
    </row>
    <row r="189">
      <c r="O189" s="114"/>
      <c r="P189" s="114"/>
      <c r="Q189" s="114"/>
      <c r="R189" s="114"/>
      <c r="S189" s="114"/>
      <c r="T189" s="114"/>
    </row>
    <row r="190">
      <c r="O190" s="114"/>
      <c r="P190" s="114"/>
      <c r="Q190" s="114"/>
      <c r="R190" s="114"/>
      <c r="S190" s="114"/>
      <c r="T190" s="114"/>
    </row>
    <row r="191">
      <c r="O191" s="114"/>
      <c r="P191" s="114"/>
      <c r="Q191" s="114"/>
      <c r="R191" s="114"/>
      <c r="S191" s="114"/>
      <c r="T191" s="114"/>
    </row>
    <row r="192">
      <c r="O192" s="114"/>
      <c r="P192" s="114"/>
      <c r="Q192" s="114"/>
      <c r="R192" s="114"/>
      <c r="S192" s="114"/>
      <c r="T192" s="114"/>
    </row>
    <row r="193">
      <c r="O193" s="114"/>
      <c r="P193" s="114"/>
      <c r="Q193" s="114"/>
      <c r="R193" s="114"/>
      <c r="S193" s="114"/>
      <c r="T193" s="114"/>
    </row>
    <row r="194">
      <c r="O194" s="114"/>
      <c r="P194" s="114"/>
      <c r="Q194" s="114"/>
      <c r="R194" s="114"/>
      <c r="S194" s="114"/>
      <c r="T194" s="114"/>
    </row>
    <row r="195">
      <c r="O195" s="114"/>
      <c r="P195" s="114"/>
      <c r="Q195" s="114"/>
      <c r="R195" s="114"/>
      <c r="S195" s="114"/>
      <c r="T195" s="114"/>
    </row>
    <row r="196">
      <c r="O196" s="114"/>
      <c r="P196" s="114"/>
      <c r="Q196" s="114"/>
      <c r="R196" s="114"/>
      <c r="S196" s="114"/>
      <c r="T196" s="114"/>
    </row>
    <row r="197">
      <c r="O197" s="114"/>
      <c r="P197" s="114"/>
      <c r="Q197" s="114"/>
      <c r="R197" s="114"/>
      <c r="S197" s="114"/>
      <c r="T197" s="114"/>
    </row>
    <row r="198">
      <c r="O198" s="114"/>
      <c r="P198" s="114"/>
      <c r="Q198" s="114"/>
      <c r="R198" s="114"/>
      <c r="S198" s="114"/>
      <c r="T198" s="114"/>
    </row>
    <row r="199">
      <c r="O199" s="114"/>
      <c r="P199" s="114"/>
      <c r="Q199" s="114"/>
      <c r="R199" s="114"/>
      <c r="S199" s="114"/>
      <c r="T199" s="114"/>
    </row>
    <row r="200">
      <c r="O200" s="114"/>
      <c r="P200" s="114"/>
      <c r="Q200" s="114"/>
      <c r="R200" s="114"/>
      <c r="S200" s="114"/>
      <c r="T200" s="114"/>
    </row>
    <row r="201">
      <c r="O201" s="114"/>
      <c r="P201" s="114"/>
      <c r="Q201" s="114"/>
      <c r="R201" s="114"/>
      <c r="S201" s="114"/>
      <c r="T201" s="114"/>
    </row>
    <row r="202">
      <c r="O202" s="114"/>
      <c r="P202" s="114"/>
      <c r="Q202" s="114"/>
      <c r="R202" s="114"/>
      <c r="S202" s="114"/>
      <c r="T202" s="114"/>
    </row>
    <row r="203">
      <c r="O203" s="114"/>
      <c r="P203" s="114"/>
      <c r="Q203" s="114"/>
      <c r="R203" s="114"/>
      <c r="S203" s="114"/>
      <c r="T203" s="114"/>
    </row>
    <row r="204">
      <c r="O204" s="114"/>
      <c r="P204" s="114"/>
      <c r="Q204" s="114"/>
      <c r="R204" s="114"/>
      <c r="S204" s="114"/>
      <c r="T204" s="114"/>
    </row>
    <row r="205">
      <c r="O205" s="114"/>
      <c r="P205" s="114"/>
      <c r="Q205" s="114"/>
      <c r="R205" s="114"/>
      <c r="S205" s="114"/>
      <c r="T205" s="114"/>
    </row>
    <row r="206">
      <c r="O206" s="114"/>
      <c r="P206" s="114"/>
      <c r="Q206" s="114"/>
      <c r="R206" s="114"/>
      <c r="S206" s="114"/>
      <c r="T206" s="114"/>
    </row>
    <row r="207">
      <c r="O207" s="114"/>
      <c r="P207" s="114"/>
      <c r="Q207" s="114"/>
      <c r="R207" s="114"/>
      <c r="S207" s="114"/>
      <c r="T207" s="114"/>
    </row>
    <row r="208">
      <c r="O208" s="114"/>
      <c r="P208" s="114"/>
      <c r="Q208" s="114"/>
      <c r="R208" s="114"/>
      <c r="S208" s="114"/>
      <c r="T208" s="114"/>
    </row>
    <row r="209">
      <c r="O209" s="114"/>
      <c r="P209" s="114"/>
      <c r="Q209" s="114"/>
      <c r="R209" s="114"/>
      <c r="S209" s="114"/>
      <c r="T209" s="114"/>
    </row>
    <row r="210">
      <c r="O210" s="114"/>
      <c r="P210" s="114"/>
      <c r="Q210" s="114"/>
      <c r="R210" s="114"/>
      <c r="S210" s="114"/>
      <c r="T210" s="114"/>
    </row>
    <row r="211">
      <c r="O211" s="114"/>
      <c r="P211" s="114"/>
      <c r="Q211" s="114"/>
      <c r="R211" s="114"/>
      <c r="S211" s="114"/>
      <c r="T211" s="114"/>
    </row>
    <row r="212">
      <c r="O212" s="114"/>
      <c r="P212" s="114"/>
      <c r="Q212" s="114"/>
      <c r="R212" s="114"/>
      <c r="S212" s="114"/>
      <c r="T212" s="114"/>
    </row>
    <row r="213">
      <c r="O213" s="114"/>
      <c r="P213" s="114"/>
      <c r="Q213" s="114"/>
      <c r="R213" s="114"/>
      <c r="S213" s="114"/>
      <c r="T213" s="114"/>
    </row>
    <row r="214">
      <c r="O214" s="114"/>
      <c r="P214" s="114"/>
      <c r="Q214" s="114"/>
      <c r="R214" s="114"/>
      <c r="S214" s="114"/>
      <c r="T214" s="114"/>
    </row>
    <row r="215">
      <c r="O215" s="114"/>
      <c r="P215" s="114"/>
      <c r="Q215" s="114"/>
      <c r="R215" s="114"/>
      <c r="S215" s="114"/>
      <c r="T215" s="114"/>
    </row>
    <row r="216">
      <c r="O216" s="114"/>
      <c r="P216" s="114"/>
      <c r="Q216" s="114"/>
      <c r="R216" s="114"/>
      <c r="S216" s="114"/>
      <c r="T216" s="114"/>
    </row>
    <row r="217">
      <c r="O217" s="114"/>
      <c r="P217" s="114"/>
      <c r="Q217" s="114"/>
      <c r="R217" s="114"/>
      <c r="S217" s="114"/>
      <c r="T217" s="114"/>
    </row>
    <row r="218">
      <c r="O218" s="114"/>
      <c r="P218" s="114"/>
      <c r="Q218" s="114"/>
      <c r="R218" s="114"/>
      <c r="S218" s="114"/>
      <c r="T218" s="114"/>
    </row>
    <row r="219">
      <c r="O219" s="114"/>
      <c r="P219" s="114"/>
      <c r="Q219" s="114"/>
      <c r="R219" s="114"/>
      <c r="S219" s="114"/>
      <c r="T219" s="114"/>
    </row>
    <row r="220">
      <c r="O220" s="114"/>
      <c r="P220" s="114"/>
      <c r="Q220" s="114"/>
      <c r="R220" s="114"/>
      <c r="S220" s="114"/>
      <c r="T220" s="114"/>
    </row>
    <row r="221">
      <c r="O221" s="114"/>
      <c r="P221" s="114"/>
      <c r="Q221" s="114"/>
      <c r="R221" s="114"/>
      <c r="S221" s="114"/>
      <c r="T221" s="114"/>
    </row>
    <row r="222">
      <c r="O222" s="114"/>
      <c r="P222" s="114"/>
      <c r="Q222" s="114"/>
      <c r="R222" s="114"/>
      <c r="S222" s="114"/>
      <c r="T222" s="114"/>
    </row>
    <row r="223">
      <c r="O223" s="114"/>
      <c r="P223" s="114"/>
      <c r="Q223" s="114"/>
      <c r="R223" s="114"/>
      <c r="S223" s="114"/>
      <c r="T223" s="114"/>
    </row>
    <row r="224">
      <c r="O224" s="114"/>
      <c r="P224" s="114"/>
      <c r="Q224" s="114"/>
      <c r="R224" s="114"/>
      <c r="S224" s="114"/>
      <c r="T224" s="114"/>
    </row>
    <row r="225">
      <c r="O225" s="114"/>
      <c r="P225" s="114"/>
      <c r="Q225" s="114"/>
      <c r="R225" s="114"/>
      <c r="S225" s="114"/>
      <c r="T225" s="114"/>
    </row>
    <row r="226">
      <c r="O226" s="114"/>
      <c r="P226" s="114"/>
      <c r="Q226" s="114"/>
      <c r="R226" s="114"/>
      <c r="S226" s="114"/>
      <c r="T226" s="114"/>
    </row>
    <row r="227">
      <c r="O227" s="114"/>
      <c r="P227" s="114"/>
      <c r="Q227" s="114"/>
      <c r="R227" s="114"/>
      <c r="S227" s="114"/>
      <c r="T227" s="114"/>
    </row>
    <row r="228">
      <c r="O228" s="114"/>
      <c r="P228" s="114"/>
      <c r="Q228" s="114"/>
      <c r="R228" s="114"/>
      <c r="S228" s="114"/>
      <c r="T228" s="114"/>
    </row>
    <row r="229">
      <c r="O229" s="114"/>
      <c r="P229" s="114"/>
      <c r="Q229" s="114"/>
      <c r="R229" s="114"/>
      <c r="S229" s="114"/>
      <c r="T229" s="114"/>
    </row>
    <row r="230">
      <c r="O230" s="114"/>
      <c r="P230" s="114"/>
      <c r="Q230" s="114"/>
      <c r="R230" s="114"/>
      <c r="S230" s="114"/>
      <c r="T230" s="114"/>
    </row>
    <row r="231">
      <c r="O231" s="114"/>
      <c r="P231" s="114"/>
      <c r="Q231" s="114"/>
      <c r="R231" s="114"/>
      <c r="S231" s="114"/>
      <c r="T231" s="114"/>
    </row>
    <row r="232">
      <c r="O232" s="114"/>
      <c r="P232" s="114"/>
      <c r="Q232" s="114"/>
      <c r="R232" s="114"/>
      <c r="S232" s="114"/>
      <c r="T232" s="114"/>
    </row>
    <row r="233">
      <c r="O233" s="114"/>
      <c r="P233" s="114"/>
      <c r="Q233" s="114"/>
      <c r="R233" s="114"/>
      <c r="S233" s="114"/>
      <c r="T233" s="114"/>
    </row>
    <row r="234">
      <c r="O234" s="114"/>
      <c r="P234" s="114"/>
      <c r="Q234" s="114"/>
      <c r="R234" s="114"/>
      <c r="S234" s="114"/>
      <c r="T234" s="114"/>
    </row>
    <row r="235">
      <c r="O235" s="114"/>
      <c r="P235" s="114"/>
      <c r="Q235" s="114"/>
      <c r="R235" s="114"/>
      <c r="S235" s="114"/>
      <c r="T235" s="114"/>
    </row>
    <row r="236">
      <c r="O236" s="114"/>
      <c r="P236" s="114"/>
      <c r="Q236" s="114"/>
      <c r="R236" s="114"/>
      <c r="S236" s="114"/>
      <c r="T236" s="114"/>
    </row>
    <row r="237">
      <c r="O237" s="114"/>
      <c r="P237" s="114"/>
      <c r="Q237" s="114"/>
      <c r="R237" s="114"/>
      <c r="S237" s="114"/>
      <c r="T237" s="114"/>
    </row>
    <row r="238">
      <c r="O238" s="114"/>
      <c r="P238" s="114"/>
      <c r="Q238" s="114"/>
      <c r="R238" s="114"/>
      <c r="S238" s="114"/>
      <c r="T238" s="114"/>
    </row>
    <row r="239">
      <c r="O239" s="114"/>
      <c r="P239" s="114"/>
      <c r="Q239" s="114"/>
      <c r="R239" s="114"/>
      <c r="S239" s="114"/>
      <c r="T239" s="114"/>
    </row>
    <row r="240">
      <c r="O240" s="114"/>
      <c r="P240" s="114"/>
      <c r="Q240" s="114"/>
      <c r="R240" s="114"/>
      <c r="S240" s="114"/>
      <c r="T240" s="114"/>
    </row>
    <row r="241">
      <c r="O241" s="114"/>
      <c r="P241" s="114"/>
      <c r="Q241" s="114"/>
      <c r="R241" s="114"/>
      <c r="S241" s="114"/>
      <c r="T241" s="114"/>
    </row>
    <row r="242">
      <c r="O242" s="114"/>
      <c r="P242" s="114"/>
      <c r="Q242" s="114"/>
      <c r="R242" s="114"/>
      <c r="S242" s="114"/>
      <c r="T242" s="114"/>
    </row>
    <row r="243">
      <c r="O243" s="114"/>
      <c r="P243" s="114"/>
      <c r="Q243" s="114"/>
      <c r="R243" s="114"/>
      <c r="S243" s="114"/>
      <c r="T243" s="114"/>
    </row>
    <row r="244">
      <c r="O244" s="114"/>
      <c r="P244" s="114"/>
      <c r="Q244" s="114"/>
      <c r="R244" s="114"/>
      <c r="S244" s="114"/>
      <c r="T244" s="114"/>
    </row>
    <row r="245">
      <c r="O245" s="114"/>
      <c r="P245" s="114"/>
      <c r="Q245" s="114"/>
      <c r="R245" s="114"/>
      <c r="S245" s="114"/>
      <c r="T245" s="114"/>
    </row>
    <row r="246">
      <c r="O246" s="114"/>
      <c r="P246" s="114"/>
      <c r="Q246" s="114"/>
      <c r="R246" s="114"/>
      <c r="S246" s="114"/>
      <c r="T246" s="114"/>
    </row>
    <row r="247">
      <c r="O247" s="114"/>
      <c r="P247" s="114"/>
      <c r="Q247" s="114"/>
      <c r="R247" s="114"/>
      <c r="S247" s="114"/>
      <c r="T247" s="114"/>
    </row>
    <row r="248">
      <c r="O248" s="114"/>
      <c r="P248" s="114"/>
      <c r="Q248" s="114"/>
      <c r="R248" s="114"/>
      <c r="S248" s="114"/>
      <c r="T248" s="114"/>
    </row>
    <row r="249">
      <c r="O249" s="114"/>
      <c r="P249" s="114"/>
      <c r="Q249" s="114"/>
      <c r="R249" s="114"/>
      <c r="S249" s="114"/>
      <c r="T249" s="114"/>
    </row>
    <row r="250">
      <c r="O250" s="114"/>
      <c r="P250" s="114"/>
      <c r="Q250" s="114"/>
      <c r="R250" s="114"/>
      <c r="S250" s="114"/>
      <c r="T250" s="114"/>
    </row>
    <row r="251">
      <c r="O251" s="114"/>
      <c r="P251" s="114"/>
      <c r="Q251" s="114"/>
      <c r="R251" s="114"/>
      <c r="S251" s="114"/>
      <c r="T251" s="114"/>
    </row>
    <row r="252">
      <c r="O252" s="114"/>
      <c r="P252" s="114"/>
      <c r="Q252" s="114"/>
      <c r="R252" s="114"/>
      <c r="S252" s="114"/>
      <c r="T252" s="114"/>
    </row>
    <row r="253">
      <c r="O253" s="114"/>
      <c r="P253" s="114"/>
      <c r="Q253" s="114"/>
      <c r="R253" s="114"/>
      <c r="S253" s="114"/>
      <c r="T253" s="114"/>
    </row>
    <row r="254">
      <c r="O254" s="114"/>
      <c r="P254" s="114"/>
      <c r="Q254" s="114"/>
      <c r="R254" s="114"/>
      <c r="S254" s="114"/>
      <c r="T254" s="114"/>
    </row>
    <row r="255">
      <c r="O255" s="114"/>
      <c r="P255" s="114"/>
      <c r="Q255" s="114"/>
      <c r="R255" s="114"/>
      <c r="S255" s="114"/>
      <c r="T255" s="114"/>
    </row>
    <row r="256">
      <c r="O256" s="114"/>
      <c r="P256" s="114"/>
      <c r="Q256" s="114"/>
      <c r="R256" s="114"/>
      <c r="S256" s="114"/>
      <c r="T256" s="114"/>
    </row>
    <row r="257">
      <c r="O257" s="114"/>
      <c r="P257" s="114"/>
      <c r="Q257" s="114"/>
      <c r="R257" s="114"/>
      <c r="S257" s="114"/>
      <c r="T257" s="114"/>
    </row>
    <row r="258">
      <c r="O258" s="114"/>
      <c r="P258" s="114"/>
      <c r="Q258" s="114"/>
      <c r="R258" s="114"/>
      <c r="S258" s="114"/>
      <c r="T258" s="114"/>
    </row>
    <row r="259">
      <c r="O259" s="114"/>
      <c r="P259" s="114"/>
      <c r="Q259" s="114"/>
      <c r="R259" s="114"/>
      <c r="S259" s="114"/>
      <c r="T259" s="114"/>
    </row>
    <row r="260">
      <c r="O260" s="114"/>
      <c r="P260" s="114"/>
      <c r="Q260" s="114"/>
      <c r="R260" s="114"/>
      <c r="S260" s="114"/>
      <c r="T260" s="114"/>
    </row>
    <row r="261">
      <c r="O261" s="114"/>
      <c r="P261" s="114"/>
      <c r="Q261" s="114"/>
      <c r="R261" s="114"/>
      <c r="S261" s="114"/>
      <c r="T261" s="114"/>
    </row>
    <row r="262">
      <c r="O262" s="114"/>
      <c r="P262" s="114"/>
      <c r="Q262" s="114"/>
      <c r="R262" s="114"/>
      <c r="S262" s="114"/>
      <c r="T262" s="114"/>
    </row>
    <row r="263">
      <c r="O263" s="114"/>
      <c r="P263" s="114"/>
      <c r="Q263" s="114"/>
      <c r="R263" s="114"/>
      <c r="S263" s="114"/>
      <c r="T263" s="114"/>
    </row>
    <row r="264">
      <c r="O264" s="114"/>
      <c r="P264" s="114"/>
      <c r="Q264" s="114"/>
      <c r="R264" s="114"/>
      <c r="S264" s="114"/>
      <c r="T264" s="114"/>
    </row>
    <row r="265">
      <c r="O265" s="114"/>
      <c r="P265" s="114"/>
      <c r="Q265" s="114"/>
      <c r="R265" s="114"/>
      <c r="S265" s="114"/>
      <c r="T265" s="114"/>
    </row>
    <row r="266">
      <c r="O266" s="114"/>
      <c r="P266" s="114"/>
      <c r="Q266" s="114"/>
      <c r="R266" s="114"/>
      <c r="S266" s="114"/>
      <c r="T266" s="114"/>
    </row>
    <row r="267">
      <c r="O267" s="114"/>
      <c r="P267" s="114"/>
      <c r="Q267" s="114"/>
      <c r="R267" s="114"/>
      <c r="S267" s="114"/>
      <c r="T267" s="114"/>
    </row>
    <row r="268">
      <c r="O268" s="114"/>
      <c r="P268" s="114"/>
      <c r="Q268" s="114"/>
      <c r="R268" s="114"/>
      <c r="S268" s="114"/>
      <c r="T268" s="114"/>
    </row>
    <row r="269">
      <c r="O269" s="114"/>
      <c r="P269" s="114"/>
      <c r="Q269" s="114"/>
      <c r="R269" s="114"/>
      <c r="S269" s="114"/>
      <c r="T269" s="114"/>
    </row>
    <row r="270">
      <c r="O270" s="114"/>
      <c r="P270" s="114"/>
      <c r="Q270" s="114"/>
      <c r="R270" s="114"/>
      <c r="S270" s="114"/>
      <c r="T270" s="114"/>
    </row>
    <row r="271">
      <c r="O271" s="114"/>
      <c r="P271" s="114"/>
      <c r="Q271" s="114"/>
      <c r="R271" s="114"/>
      <c r="S271" s="114"/>
      <c r="T271" s="114"/>
    </row>
    <row r="272">
      <c r="O272" s="114"/>
      <c r="P272" s="114"/>
      <c r="Q272" s="114"/>
      <c r="R272" s="114"/>
      <c r="S272" s="114"/>
      <c r="T272" s="114"/>
    </row>
    <row r="273">
      <c r="O273" s="114"/>
      <c r="P273" s="114"/>
      <c r="Q273" s="114"/>
      <c r="R273" s="114"/>
      <c r="S273" s="114"/>
      <c r="T273" s="114"/>
    </row>
    <row r="274">
      <c r="O274" s="114"/>
      <c r="P274" s="114"/>
      <c r="Q274" s="114"/>
      <c r="R274" s="114"/>
      <c r="S274" s="114"/>
      <c r="T274" s="114"/>
    </row>
    <row r="275">
      <c r="O275" s="114"/>
      <c r="P275" s="114"/>
      <c r="Q275" s="114"/>
      <c r="R275" s="114"/>
      <c r="S275" s="114"/>
      <c r="T275" s="114"/>
    </row>
    <row r="276">
      <c r="O276" s="114"/>
      <c r="P276" s="114"/>
      <c r="Q276" s="114"/>
      <c r="R276" s="114"/>
      <c r="S276" s="114"/>
      <c r="T276" s="114"/>
    </row>
    <row r="277">
      <c r="O277" s="114"/>
      <c r="P277" s="114"/>
      <c r="Q277" s="114"/>
      <c r="R277" s="114"/>
      <c r="S277" s="114"/>
      <c r="T277" s="114"/>
    </row>
    <row r="278">
      <c r="O278" s="114"/>
      <c r="P278" s="114"/>
      <c r="Q278" s="114"/>
      <c r="R278" s="114"/>
      <c r="S278" s="114"/>
      <c r="T278" s="114"/>
    </row>
    <row r="279">
      <c r="O279" s="114"/>
      <c r="P279" s="114"/>
      <c r="Q279" s="114"/>
      <c r="R279" s="114"/>
      <c r="S279" s="114"/>
      <c r="T279" s="114"/>
    </row>
    <row r="280">
      <c r="O280" s="114"/>
      <c r="P280" s="114"/>
      <c r="Q280" s="114"/>
      <c r="R280" s="114"/>
      <c r="S280" s="114"/>
      <c r="T280" s="114"/>
    </row>
    <row r="281">
      <c r="O281" s="114"/>
      <c r="P281" s="114"/>
      <c r="Q281" s="114"/>
      <c r="R281" s="114"/>
      <c r="S281" s="114"/>
      <c r="T281" s="114"/>
    </row>
    <row r="282">
      <c r="O282" s="114"/>
      <c r="P282" s="114"/>
      <c r="Q282" s="114"/>
      <c r="R282" s="114"/>
      <c r="S282" s="114"/>
      <c r="T282" s="114"/>
    </row>
    <row r="283">
      <c r="O283" s="114"/>
      <c r="P283" s="114"/>
      <c r="Q283" s="114"/>
      <c r="R283" s="114"/>
      <c r="S283" s="114"/>
      <c r="T283" s="114"/>
    </row>
    <row r="284">
      <c r="O284" s="114"/>
      <c r="P284" s="114"/>
      <c r="Q284" s="114"/>
      <c r="R284" s="114"/>
      <c r="S284" s="114"/>
      <c r="T284" s="114"/>
    </row>
    <row r="285">
      <c r="O285" s="114"/>
      <c r="P285" s="114"/>
      <c r="Q285" s="114"/>
      <c r="R285" s="114"/>
      <c r="S285" s="114"/>
      <c r="T285" s="114"/>
    </row>
    <row r="286">
      <c r="O286" s="114"/>
      <c r="P286" s="114"/>
      <c r="Q286" s="114"/>
      <c r="R286" s="114"/>
      <c r="S286" s="114"/>
      <c r="T286" s="114"/>
    </row>
    <row r="287">
      <c r="O287" s="114"/>
      <c r="P287" s="114"/>
      <c r="Q287" s="114"/>
      <c r="R287" s="114"/>
      <c r="S287" s="114"/>
      <c r="T287" s="114"/>
    </row>
    <row r="288">
      <c r="O288" s="114"/>
      <c r="P288" s="114"/>
      <c r="Q288" s="114"/>
      <c r="R288" s="114"/>
      <c r="S288" s="114"/>
      <c r="T288" s="114"/>
    </row>
    <row r="289">
      <c r="O289" s="114"/>
      <c r="P289" s="114"/>
      <c r="Q289" s="114"/>
      <c r="R289" s="114"/>
      <c r="S289" s="114"/>
      <c r="T289" s="114"/>
    </row>
    <row r="290">
      <c r="O290" s="114"/>
      <c r="P290" s="114"/>
      <c r="Q290" s="114"/>
      <c r="R290" s="114"/>
      <c r="S290" s="114"/>
      <c r="T290" s="114"/>
    </row>
    <row r="291">
      <c r="O291" s="114"/>
      <c r="P291" s="114"/>
      <c r="Q291" s="114"/>
      <c r="R291" s="114"/>
      <c r="S291" s="114"/>
      <c r="T291" s="114"/>
    </row>
    <row r="292">
      <c r="O292" s="114"/>
      <c r="P292" s="114"/>
      <c r="Q292" s="114"/>
      <c r="R292" s="114"/>
      <c r="S292" s="114"/>
      <c r="T292" s="114"/>
    </row>
    <row r="293">
      <c r="O293" s="114"/>
      <c r="P293" s="114"/>
      <c r="Q293" s="114"/>
      <c r="R293" s="114"/>
      <c r="S293" s="114"/>
      <c r="T293" s="114"/>
    </row>
    <row r="294">
      <c r="O294" s="114"/>
      <c r="P294" s="114"/>
      <c r="Q294" s="114"/>
      <c r="R294" s="114"/>
      <c r="S294" s="114"/>
      <c r="T294" s="114"/>
    </row>
    <row r="295">
      <c r="O295" s="114"/>
      <c r="P295" s="114"/>
      <c r="Q295" s="114"/>
      <c r="R295" s="114"/>
      <c r="S295" s="114"/>
      <c r="T295" s="114"/>
    </row>
    <row r="296">
      <c r="O296" s="114"/>
      <c r="P296" s="114"/>
      <c r="Q296" s="114"/>
      <c r="R296" s="114"/>
      <c r="S296" s="114"/>
      <c r="T296" s="114"/>
    </row>
    <row r="297">
      <c r="O297" s="114"/>
      <c r="P297" s="114"/>
      <c r="Q297" s="114"/>
      <c r="R297" s="114"/>
      <c r="S297" s="114"/>
      <c r="T297" s="114"/>
    </row>
    <row r="298">
      <c r="O298" s="114"/>
      <c r="P298" s="114"/>
      <c r="Q298" s="114"/>
      <c r="R298" s="114"/>
      <c r="S298" s="114"/>
      <c r="T298" s="114"/>
    </row>
    <row r="299">
      <c r="O299" s="114"/>
      <c r="P299" s="114"/>
      <c r="Q299" s="114"/>
      <c r="R299" s="114"/>
      <c r="S299" s="114"/>
      <c r="T299" s="114"/>
    </row>
    <row r="300">
      <c r="O300" s="114"/>
      <c r="P300" s="114"/>
      <c r="Q300" s="114"/>
      <c r="R300" s="114"/>
      <c r="S300" s="114"/>
      <c r="T300" s="114"/>
    </row>
    <row r="301">
      <c r="O301" s="114"/>
      <c r="P301" s="114"/>
      <c r="Q301" s="114"/>
      <c r="R301" s="114"/>
      <c r="S301" s="114"/>
      <c r="T301" s="114"/>
    </row>
    <row r="302">
      <c r="O302" s="114"/>
      <c r="P302" s="114"/>
      <c r="Q302" s="114"/>
      <c r="R302" s="114"/>
      <c r="S302" s="114"/>
      <c r="T302" s="114"/>
    </row>
    <row r="303">
      <c r="O303" s="114"/>
      <c r="P303" s="114"/>
      <c r="Q303" s="114"/>
      <c r="R303" s="114"/>
      <c r="S303" s="114"/>
      <c r="T303" s="114"/>
    </row>
    <row r="304">
      <c r="O304" s="114"/>
      <c r="P304" s="114"/>
      <c r="Q304" s="114"/>
      <c r="R304" s="114"/>
      <c r="S304" s="114"/>
      <c r="T304" s="114"/>
    </row>
    <row r="305">
      <c r="O305" s="114"/>
      <c r="P305" s="114"/>
      <c r="Q305" s="114"/>
      <c r="R305" s="114"/>
      <c r="S305" s="114"/>
      <c r="T305" s="114"/>
    </row>
    <row r="306">
      <c r="O306" s="114"/>
      <c r="P306" s="114"/>
      <c r="Q306" s="114"/>
      <c r="R306" s="114"/>
      <c r="S306" s="114"/>
      <c r="T306" s="114"/>
    </row>
    <row r="307">
      <c r="O307" s="114"/>
      <c r="P307" s="114"/>
      <c r="Q307" s="114"/>
      <c r="R307" s="114"/>
      <c r="S307" s="114"/>
      <c r="T307" s="114"/>
    </row>
    <row r="308">
      <c r="O308" s="114"/>
      <c r="P308" s="114"/>
      <c r="Q308" s="114"/>
      <c r="R308" s="114"/>
      <c r="S308" s="114"/>
      <c r="T308" s="114"/>
    </row>
    <row r="309">
      <c r="O309" s="114"/>
      <c r="P309" s="114"/>
      <c r="Q309" s="114"/>
      <c r="R309" s="114"/>
      <c r="S309" s="114"/>
      <c r="T309" s="114"/>
    </row>
    <row r="310">
      <c r="O310" s="114"/>
      <c r="P310" s="114"/>
      <c r="Q310" s="114"/>
      <c r="R310" s="114"/>
      <c r="S310" s="114"/>
      <c r="T310" s="114"/>
    </row>
    <row r="311">
      <c r="O311" s="114"/>
      <c r="P311" s="114"/>
      <c r="Q311" s="114"/>
      <c r="R311" s="114"/>
      <c r="S311" s="114"/>
      <c r="T311" s="114"/>
    </row>
    <row r="312">
      <c r="O312" s="114"/>
      <c r="P312" s="114"/>
      <c r="Q312" s="114"/>
      <c r="R312" s="114"/>
      <c r="S312" s="114"/>
      <c r="T312" s="114"/>
    </row>
    <row r="313">
      <c r="O313" s="114"/>
      <c r="P313" s="114"/>
      <c r="Q313" s="114"/>
      <c r="R313" s="114"/>
      <c r="S313" s="114"/>
      <c r="T313" s="114"/>
    </row>
    <row r="314">
      <c r="O314" s="114"/>
      <c r="P314" s="114"/>
      <c r="Q314" s="114"/>
      <c r="R314" s="114"/>
      <c r="S314" s="114"/>
      <c r="T314" s="114"/>
    </row>
    <row r="315">
      <c r="O315" s="114"/>
      <c r="P315" s="114"/>
      <c r="Q315" s="114"/>
      <c r="R315" s="114"/>
      <c r="S315" s="114"/>
      <c r="T315" s="114"/>
    </row>
    <row r="316">
      <c r="O316" s="114"/>
      <c r="P316" s="114"/>
      <c r="Q316" s="114"/>
      <c r="R316" s="114"/>
      <c r="S316" s="114"/>
      <c r="T316" s="114"/>
    </row>
    <row r="317">
      <c r="O317" s="114"/>
      <c r="P317" s="114"/>
      <c r="Q317" s="114"/>
      <c r="R317" s="114"/>
      <c r="S317" s="114"/>
      <c r="T317" s="114"/>
    </row>
    <row r="318">
      <c r="O318" s="114"/>
      <c r="P318" s="114"/>
      <c r="Q318" s="114"/>
      <c r="R318" s="114"/>
      <c r="S318" s="114"/>
      <c r="T318" s="114"/>
    </row>
    <row r="319">
      <c r="O319" s="114"/>
      <c r="P319" s="114"/>
      <c r="Q319" s="114"/>
      <c r="R319" s="114"/>
      <c r="S319" s="114"/>
      <c r="T319" s="114"/>
    </row>
    <row r="320">
      <c r="O320" s="114"/>
      <c r="P320" s="114"/>
      <c r="Q320" s="114"/>
      <c r="R320" s="114"/>
      <c r="S320" s="114"/>
      <c r="T320" s="114"/>
    </row>
    <row r="321">
      <c r="O321" s="114"/>
      <c r="P321" s="114"/>
      <c r="Q321" s="114"/>
      <c r="R321" s="114"/>
      <c r="S321" s="114"/>
      <c r="T321" s="114"/>
    </row>
    <row r="322">
      <c r="O322" s="114"/>
      <c r="P322" s="114"/>
      <c r="Q322" s="114"/>
      <c r="R322" s="114"/>
      <c r="S322" s="114"/>
      <c r="T322" s="114"/>
    </row>
    <row r="323">
      <c r="O323" s="114"/>
      <c r="P323" s="114"/>
      <c r="Q323" s="114"/>
      <c r="R323" s="114"/>
      <c r="S323" s="114"/>
      <c r="T323" s="114"/>
    </row>
    <row r="324">
      <c r="O324" s="114"/>
      <c r="P324" s="114"/>
      <c r="Q324" s="114"/>
      <c r="R324" s="114"/>
      <c r="S324" s="114"/>
      <c r="T324" s="114"/>
    </row>
    <row r="325">
      <c r="O325" s="114"/>
      <c r="P325" s="114"/>
      <c r="Q325" s="114"/>
      <c r="R325" s="114"/>
      <c r="S325" s="114"/>
      <c r="T325" s="114"/>
    </row>
    <row r="326">
      <c r="O326" s="114"/>
      <c r="P326" s="114"/>
      <c r="Q326" s="114"/>
      <c r="R326" s="114"/>
      <c r="S326" s="114"/>
      <c r="T326" s="114"/>
    </row>
    <row r="327">
      <c r="O327" s="114"/>
      <c r="P327" s="114"/>
      <c r="Q327" s="114"/>
      <c r="R327" s="114"/>
      <c r="S327" s="114"/>
      <c r="T327" s="114"/>
    </row>
    <row r="328">
      <c r="O328" s="114"/>
      <c r="P328" s="114"/>
      <c r="Q328" s="114"/>
      <c r="R328" s="114"/>
      <c r="S328" s="114"/>
      <c r="T328" s="114"/>
    </row>
    <row r="329">
      <c r="O329" s="114"/>
      <c r="P329" s="114"/>
      <c r="Q329" s="114"/>
      <c r="R329" s="114"/>
      <c r="S329" s="114"/>
      <c r="T329" s="114"/>
    </row>
    <row r="330">
      <c r="O330" s="114"/>
      <c r="P330" s="114"/>
      <c r="Q330" s="114"/>
      <c r="R330" s="114"/>
      <c r="S330" s="114"/>
      <c r="T330" s="114"/>
    </row>
    <row r="331">
      <c r="O331" s="114"/>
      <c r="P331" s="114"/>
      <c r="Q331" s="114"/>
      <c r="R331" s="114"/>
      <c r="S331" s="114"/>
      <c r="T331" s="114"/>
    </row>
    <row r="332">
      <c r="O332" s="114"/>
      <c r="P332" s="114"/>
      <c r="Q332" s="114"/>
      <c r="R332" s="114"/>
      <c r="S332" s="114"/>
      <c r="T332" s="114"/>
    </row>
    <row r="333">
      <c r="O333" s="114"/>
      <c r="P333" s="114"/>
      <c r="Q333" s="114"/>
      <c r="R333" s="114"/>
      <c r="S333" s="114"/>
      <c r="T333" s="114"/>
    </row>
    <row r="334">
      <c r="O334" s="114"/>
      <c r="P334" s="114"/>
      <c r="Q334" s="114"/>
      <c r="R334" s="114"/>
      <c r="S334" s="114"/>
      <c r="T334" s="114"/>
    </row>
    <row r="335">
      <c r="O335" s="114"/>
      <c r="P335" s="114"/>
      <c r="Q335" s="114"/>
      <c r="R335" s="114"/>
      <c r="S335" s="114"/>
      <c r="T335" s="114"/>
    </row>
    <row r="336">
      <c r="O336" s="114"/>
      <c r="P336" s="114"/>
      <c r="Q336" s="114"/>
      <c r="R336" s="114"/>
      <c r="S336" s="114"/>
      <c r="T336" s="114"/>
    </row>
    <row r="337">
      <c r="O337" s="114"/>
      <c r="P337" s="114"/>
      <c r="Q337" s="114"/>
      <c r="R337" s="114"/>
      <c r="S337" s="114"/>
      <c r="T337" s="114"/>
    </row>
    <row r="338">
      <c r="O338" s="114"/>
      <c r="P338" s="114"/>
      <c r="Q338" s="114"/>
      <c r="R338" s="114"/>
      <c r="S338" s="114"/>
      <c r="T338" s="114"/>
    </row>
    <row r="339">
      <c r="O339" s="114"/>
      <c r="P339" s="114"/>
      <c r="Q339" s="114"/>
      <c r="R339" s="114"/>
      <c r="S339" s="114"/>
      <c r="T339" s="114"/>
    </row>
    <row r="340">
      <c r="O340" s="114"/>
      <c r="P340" s="114"/>
      <c r="Q340" s="114"/>
      <c r="R340" s="114"/>
      <c r="S340" s="114"/>
      <c r="T340" s="114"/>
    </row>
    <row r="341">
      <c r="O341" s="114"/>
      <c r="P341" s="114"/>
      <c r="Q341" s="114"/>
      <c r="R341" s="114"/>
      <c r="S341" s="114"/>
      <c r="T341" s="114"/>
    </row>
    <row r="342">
      <c r="O342" s="114"/>
      <c r="P342" s="114"/>
      <c r="Q342" s="114"/>
      <c r="R342" s="114"/>
      <c r="S342" s="114"/>
      <c r="T342" s="114"/>
    </row>
    <row r="343">
      <c r="O343" s="114"/>
      <c r="P343" s="114"/>
      <c r="Q343" s="114"/>
      <c r="R343" s="114"/>
      <c r="S343" s="114"/>
      <c r="T343" s="114"/>
    </row>
    <row r="344">
      <c r="O344" s="114"/>
      <c r="P344" s="114"/>
      <c r="Q344" s="114"/>
      <c r="R344" s="114"/>
      <c r="S344" s="114"/>
      <c r="T344" s="114"/>
    </row>
    <row r="345">
      <c r="O345" s="114"/>
      <c r="P345" s="114"/>
      <c r="Q345" s="114"/>
      <c r="R345" s="114"/>
      <c r="S345" s="114"/>
      <c r="T345" s="114"/>
    </row>
    <row r="346">
      <c r="O346" s="114"/>
      <c r="P346" s="114"/>
      <c r="Q346" s="114"/>
      <c r="R346" s="114"/>
      <c r="S346" s="114"/>
      <c r="T346" s="114"/>
    </row>
    <row r="347">
      <c r="O347" s="114"/>
      <c r="P347" s="114"/>
      <c r="Q347" s="114"/>
      <c r="R347" s="114"/>
      <c r="S347" s="114"/>
      <c r="T347" s="114"/>
    </row>
    <row r="348">
      <c r="O348" s="114"/>
      <c r="P348" s="114"/>
      <c r="Q348" s="114"/>
      <c r="R348" s="114"/>
      <c r="S348" s="114"/>
      <c r="T348" s="114"/>
    </row>
    <row r="349">
      <c r="O349" s="114"/>
      <c r="P349" s="114"/>
      <c r="Q349" s="114"/>
      <c r="R349" s="114"/>
      <c r="S349" s="114"/>
      <c r="T349" s="114"/>
    </row>
    <row r="350">
      <c r="O350" s="114"/>
      <c r="P350" s="114"/>
      <c r="Q350" s="114"/>
      <c r="R350" s="114"/>
      <c r="S350" s="114"/>
      <c r="T350" s="114"/>
    </row>
    <row r="351">
      <c r="O351" s="114"/>
      <c r="P351" s="114"/>
      <c r="Q351" s="114"/>
      <c r="R351" s="114"/>
      <c r="S351" s="114"/>
      <c r="T351" s="114"/>
    </row>
    <row r="352">
      <c r="O352" s="114"/>
      <c r="P352" s="114"/>
      <c r="Q352" s="114"/>
      <c r="R352" s="114"/>
      <c r="S352" s="114"/>
      <c r="T352" s="114"/>
    </row>
    <row r="353">
      <c r="O353" s="114"/>
      <c r="P353" s="114"/>
      <c r="Q353" s="114"/>
      <c r="R353" s="114"/>
      <c r="S353" s="114"/>
      <c r="T353" s="114"/>
    </row>
    <row r="354">
      <c r="O354" s="114"/>
      <c r="P354" s="114"/>
      <c r="Q354" s="114"/>
      <c r="R354" s="114"/>
      <c r="S354" s="114"/>
      <c r="T354" s="114"/>
    </row>
    <row r="355">
      <c r="O355" s="114"/>
      <c r="P355" s="114"/>
      <c r="Q355" s="114"/>
      <c r="R355" s="114"/>
      <c r="S355" s="114"/>
      <c r="T355" s="114"/>
    </row>
    <row r="356">
      <c r="O356" s="114"/>
      <c r="P356" s="114"/>
      <c r="Q356" s="114"/>
      <c r="R356" s="114"/>
      <c r="S356" s="114"/>
      <c r="T356" s="114"/>
    </row>
    <row r="357">
      <c r="O357" s="114"/>
      <c r="P357" s="114"/>
      <c r="Q357" s="114"/>
      <c r="R357" s="114"/>
      <c r="S357" s="114"/>
      <c r="T357" s="114"/>
    </row>
    <row r="358">
      <c r="O358" s="114"/>
      <c r="P358" s="114"/>
      <c r="Q358" s="114"/>
      <c r="R358" s="114"/>
      <c r="S358" s="114"/>
      <c r="T358" s="114"/>
    </row>
    <row r="359">
      <c r="O359" s="114"/>
      <c r="P359" s="114"/>
      <c r="Q359" s="114"/>
      <c r="R359" s="114"/>
      <c r="S359" s="114"/>
      <c r="T359" s="114"/>
    </row>
    <row r="360">
      <c r="O360" s="114"/>
      <c r="P360" s="114"/>
      <c r="Q360" s="114"/>
      <c r="R360" s="114"/>
      <c r="S360" s="114"/>
      <c r="T360" s="114"/>
    </row>
    <row r="361">
      <c r="O361" s="114"/>
      <c r="P361" s="114"/>
      <c r="Q361" s="114"/>
      <c r="R361" s="114"/>
      <c r="S361" s="114"/>
      <c r="T361" s="114"/>
    </row>
    <row r="362">
      <c r="O362" s="114"/>
      <c r="P362" s="114"/>
      <c r="Q362" s="114"/>
      <c r="R362" s="114"/>
      <c r="S362" s="114"/>
      <c r="T362" s="114"/>
    </row>
    <row r="363">
      <c r="O363" s="114"/>
      <c r="P363" s="114"/>
      <c r="Q363" s="114"/>
      <c r="R363" s="114"/>
      <c r="S363" s="114"/>
      <c r="T363" s="114"/>
    </row>
    <row r="364">
      <c r="O364" s="114"/>
      <c r="P364" s="114"/>
      <c r="Q364" s="114"/>
      <c r="R364" s="114"/>
      <c r="S364" s="114"/>
      <c r="T364" s="114"/>
    </row>
    <row r="365">
      <c r="O365" s="114"/>
      <c r="P365" s="114"/>
      <c r="Q365" s="114"/>
      <c r="R365" s="114"/>
      <c r="S365" s="114"/>
      <c r="T365" s="114"/>
    </row>
    <row r="366">
      <c r="O366" s="114"/>
      <c r="P366" s="114"/>
      <c r="Q366" s="114"/>
      <c r="R366" s="114"/>
      <c r="S366" s="114"/>
      <c r="T366" s="114"/>
    </row>
    <row r="367">
      <c r="O367" s="114"/>
      <c r="P367" s="114"/>
      <c r="Q367" s="114"/>
      <c r="R367" s="114"/>
      <c r="S367" s="114"/>
      <c r="T367" s="114"/>
    </row>
    <row r="368">
      <c r="O368" s="114"/>
      <c r="P368" s="114"/>
      <c r="Q368" s="114"/>
      <c r="R368" s="114"/>
      <c r="S368" s="114"/>
      <c r="T368" s="114"/>
    </row>
    <row r="369">
      <c r="O369" s="114"/>
      <c r="P369" s="114"/>
      <c r="Q369" s="114"/>
      <c r="R369" s="114"/>
      <c r="S369" s="114"/>
      <c r="T369" s="114"/>
    </row>
    <row r="370">
      <c r="O370" s="114"/>
      <c r="P370" s="114"/>
      <c r="Q370" s="114"/>
      <c r="R370" s="114"/>
      <c r="S370" s="114"/>
      <c r="T370" s="114"/>
    </row>
    <row r="371">
      <c r="O371" s="114"/>
      <c r="P371" s="114"/>
      <c r="Q371" s="114"/>
      <c r="R371" s="114"/>
      <c r="S371" s="114"/>
      <c r="T371" s="114"/>
    </row>
    <row r="372">
      <c r="O372" s="114"/>
      <c r="P372" s="114"/>
      <c r="Q372" s="114"/>
      <c r="R372" s="114"/>
      <c r="S372" s="114"/>
      <c r="T372" s="114"/>
    </row>
    <row r="373">
      <c r="O373" s="114"/>
      <c r="P373" s="114"/>
      <c r="Q373" s="114"/>
      <c r="R373" s="114"/>
      <c r="S373" s="114"/>
      <c r="T373" s="114"/>
    </row>
    <row r="374">
      <c r="O374" s="114"/>
      <c r="P374" s="114"/>
      <c r="Q374" s="114"/>
      <c r="R374" s="114"/>
      <c r="S374" s="114"/>
      <c r="T374" s="114"/>
    </row>
    <row r="375">
      <c r="O375" s="114"/>
      <c r="P375" s="114"/>
      <c r="Q375" s="114"/>
      <c r="R375" s="114"/>
      <c r="S375" s="114"/>
      <c r="T375" s="114"/>
    </row>
    <row r="376">
      <c r="O376" s="114"/>
      <c r="P376" s="114"/>
      <c r="Q376" s="114"/>
      <c r="R376" s="114"/>
      <c r="S376" s="114"/>
      <c r="T376" s="114"/>
    </row>
    <row r="377">
      <c r="O377" s="114"/>
      <c r="P377" s="114"/>
      <c r="Q377" s="114"/>
      <c r="R377" s="114"/>
      <c r="S377" s="114"/>
      <c r="T377" s="114"/>
    </row>
    <row r="378">
      <c r="O378" s="114"/>
      <c r="P378" s="114"/>
      <c r="Q378" s="114"/>
      <c r="R378" s="114"/>
      <c r="S378" s="114"/>
      <c r="T378" s="114"/>
    </row>
    <row r="379">
      <c r="O379" s="114"/>
      <c r="P379" s="114"/>
      <c r="Q379" s="114"/>
      <c r="R379" s="114"/>
      <c r="S379" s="114"/>
      <c r="T379" s="114"/>
    </row>
    <row r="380">
      <c r="O380" s="114"/>
      <c r="P380" s="114"/>
      <c r="Q380" s="114"/>
      <c r="R380" s="114"/>
      <c r="S380" s="114"/>
      <c r="T380" s="114"/>
    </row>
    <row r="381">
      <c r="O381" s="114"/>
      <c r="P381" s="114"/>
      <c r="Q381" s="114"/>
      <c r="R381" s="114"/>
      <c r="S381" s="114"/>
      <c r="T381" s="114"/>
    </row>
    <row r="382">
      <c r="O382" s="114"/>
      <c r="P382" s="114"/>
      <c r="Q382" s="114"/>
      <c r="R382" s="114"/>
      <c r="S382" s="114"/>
      <c r="T382" s="114"/>
    </row>
    <row r="383">
      <c r="O383" s="114"/>
      <c r="P383" s="114"/>
      <c r="Q383" s="114"/>
      <c r="R383" s="114"/>
      <c r="S383" s="114"/>
      <c r="T383" s="114"/>
    </row>
    <row r="384">
      <c r="O384" s="114"/>
      <c r="P384" s="114"/>
      <c r="Q384" s="114"/>
      <c r="R384" s="114"/>
      <c r="S384" s="114"/>
      <c r="T384" s="114"/>
    </row>
    <row r="385">
      <c r="O385" s="114"/>
      <c r="P385" s="114"/>
      <c r="Q385" s="114"/>
      <c r="R385" s="114"/>
      <c r="S385" s="114"/>
      <c r="T385" s="114"/>
    </row>
    <row r="386">
      <c r="O386" s="114"/>
      <c r="P386" s="114"/>
      <c r="Q386" s="114"/>
      <c r="R386" s="114"/>
      <c r="S386" s="114"/>
      <c r="T386" s="114"/>
    </row>
    <row r="387">
      <c r="O387" s="114"/>
      <c r="P387" s="114"/>
      <c r="Q387" s="114"/>
      <c r="R387" s="114"/>
      <c r="S387" s="114"/>
      <c r="T387" s="114"/>
    </row>
    <row r="388">
      <c r="O388" s="114"/>
      <c r="P388" s="114"/>
      <c r="Q388" s="114"/>
      <c r="R388" s="114"/>
      <c r="S388" s="114"/>
      <c r="T388" s="114"/>
    </row>
    <row r="389">
      <c r="O389" s="114"/>
      <c r="P389" s="114"/>
      <c r="Q389" s="114"/>
      <c r="R389" s="114"/>
      <c r="S389" s="114"/>
      <c r="T389" s="114"/>
    </row>
    <row r="390">
      <c r="O390" s="114"/>
      <c r="P390" s="114"/>
      <c r="Q390" s="114"/>
      <c r="R390" s="114"/>
      <c r="S390" s="114"/>
      <c r="T390" s="114"/>
    </row>
    <row r="391">
      <c r="O391" s="114"/>
      <c r="P391" s="114"/>
      <c r="Q391" s="114"/>
      <c r="R391" s="114"/>
      <c r="S391" s="114"/>
      <c r="T391" s="114"/>
    </row>
    <row r="392">
      <c r="O392" s="114"/>
      <c r="P392" s="114"/>
      <c r="Q392" s="114"/>
      <c r="R392" s="114"/>
      <c r="S392" s="114"/>
      <c r="T392" s="114"/>
    </row>
    <row r="393">
      <c r="O393" s="114"/>
      <c r="P393" s="114"/>
      <c r="Q393" s="114"/>
      <c r="R393" s="114"/>
      <c r="S393" s="114"/>
      <c r="T393" s="114"/>
    </row>
    <row r="394">
      <c r="O394" s="114"/>
      <c r="P394" s="114"/>
      <c r="Q394" s="114"/>
      <c r="R394" s="114"/>
      <c r="S394" s="114"/>
      <c r="T394" s="114"/>
    </row>
    <row r="395">
      <c r="O395" s="114"/>
      <c r="P395" s="114"/>
      <c r="Q395" s="114"/>
      <c r="R395" s="114"/>
      <c r="S395" s="114"/>
      <c r="T395" s="114"/>
    </row>
    <row r="396">
      <c r="O396" s="114"/>
      <c r="P396" s="114"/>
      <c r="Q396" s="114"/>
      <c r="R396" s="114"/>
      <c r="S396" s="114"/>
      <c r="T396" s="114"/>
    </row>
    <row r="397">
      <c r="O397" s="114"/>
      <c r="P397" s="114"/>
      <c r="Q397" s="114"/>
      <c r="R397" s="114"/>
      <c r="S397" s="114"/>
      <c r="T397" s="114"/>
    </row>
    <row r="398">
      <c r="O398" s="114"/>
      <c r="P398" s="114"/>
      <c r="Q398" s="114"/>
      <c r="R398" s="114"/>
      <c r="S398" s="114"/>
      <c r="T398" s="114"/>
    </row>
    <row r="399">
      <c r="O399" s="114"/>
      <c r="P399" s="114"/>
      <c r="Q399" s="114"/>
      <c r="R399" s="114"/>
      <c r="S399" s="114"/>
      <c r="T399" s="114"/>
    </row>
    <row r="400">
      <c r="O400" s="114"/>
      <c r="P400" s="114"/>
      <c r="Q400" s="114"/>
      <c r="R400" s="114"/>
      <c r="S400" s="114"/>
      <c r="T400" s="114"/>
    </row>
    <row r="401">
      <c r="O401" s="114"/>
      <c r="P401" s="114"/>
      <c r="Q401" s="114"/>
      <c r="R401" s="114"/>
      <c r="S401" s="114"/>
      <c r="T401" s="114"/>
    </row>
    <row r="402">
      <c r="O402" s="114"/>
      <c r="P402" s="114"/>
      <c r="Q402" s="114"/>
      <c r="R402" s="114"/>
      <c r="S402" s="114"/>
      <c r="T402" s="114"/>
    </row>
    <row r="403">
      <c r="O403" s="114"/>
      <c r="P403" s="114"/>
      <c r="Q403" s="114"/>
      <c r="R403" s="114"/>
      <c r="S403" s="114"/>
      <c r="T403" s="114"/>
    </row>
    <row r="404">
      <c r="O404" s="114"/>
      <c r="P404" s="114"/>
      <c r="Q404" s="114"/>
      <c r="R404" s="114"/>
      <c r="S404" s="114"/>
      <c r="T404" s="114"/>
    </row>
    <row r="405">
      <c r="O405" s="114"/>
      <c r="P405" s="114"/>
      <c r="Q405" s="114"/>
      <c r="R405" s="114"/>
      <c r="S405" s="114"/>
      <c r="T405" s="114"/>
    </row>
    <row r="406">
      <c r="O406" s="114"/>
      <c r="P406" s="114"/>
      <c r="Q406" s="114"/>
      <c r="R406" s="114"/>
      <c r="S406" s="114"/>
      <c r="T406" s="114"/>
    </row>
    <row r="407">
      <c r="O407" s="114"/>
      <c r="P407" s="114"/>
      <c r="Q407" s="114"/>
      <c r="R407" s="114"/>
      <c r="S407" s="114"/>
      <c r="T407" s="114"/>
    </row>
    <row r="408">
      <c r="O408" s="114"/>
      <c r="P408" s="114"/>
      <c r="Q408" s="114"/>
      <c r="R408" s="114"/>
      <c r="S408" s="114"/>
      <c r="T408" s="114"/>
    </row>
    <row r="409">
      <c r="O409" s="114"/>
      <c r="P409" s="114"/>
      <c r="Q409" s="114"/>
      <c r="R409" s="114"/>
      <c r="S409" s="114"/>
      <c r="T409" s="114"/>
    </row>
    <row r="410">
      <c r="O410" s="114"/>
      <c r="P410" s="114"/>
      <c r="Q410" s="114"/>
      <c r="R410" s="114"/>
      <c r="S410" s="114"/>
      <c r="T410" s="114"/>
    </row>
    <row r="411">
      <c r="O411" s="114"/>
      <c r="P411" s="114"/>
      <c r="Q411" s="114"/>
      <c r="R411" s="114"/>
      <c r="S411" s="114"/>
      <c r="T411" s="114"/>
    </row>
    <row r="412">
      <c r="O412" s="114"/>
      <c r="P412" s="114"/>
      <c r="Q412" s="114"/>
      <c r="R412" s="114"/>
      <c r="S412" s="114"/>
      <c r="T412" s="114"/>
    </row>
    <row r="413">
      <c r="O413" s="114"/>
      <c r="P413" s="114"/>
      <c r="Q413" s="114"/>
      <c r="R413" s="114"/>
      <c r="S413" s="114"/>
      <c r="T413" s="114"/>
    </row>
    <row r="414">
      <c r="O414" s="114"/>
      <c r="P414" s="114"/>
      <c r="Q414" s="114"/>
      <c r="R414" s="114"/>
      <c r="S414" s="114"/>
      <c r="T414" s="114"/>
    </row>
    <row r="415">
      <c r="O415" s="114"/>
      <c r="P415" s="114"/>
      <c r="Q415" s="114"/>
      <c r="R415" s="114"/>
      <c r="S415" s="114"/>
      <c r="T415" s="114"/>
    </row>
    <row r="416">
      <c r="O416" s="114"/>
      <c r="P416" s="114"/>
      <c r="Q416" s="114"/>
      <c r="R416" s="114"/>
      <c r="S416" s="114"/>
      <c r="T416" s="114"/>
    </row>
    <row r="417">
      <c r="O417" s="114"/>
      <c r="P417" s="114"/>
      <c r="Q417" s="114"/>
      <c r="R417" s="114"/>
      <c r="S417" s="114"/>
      <c r="T417" s="114"/>
    </row>
    <row r="418">
      <c r="O418" s="114"/>
      <c r="P418" s="114"/>
      <c r="Q418" s="114"/>
      <c r="R418" s="114"/>
      <c r="S418" s="114"/>
      <c r="T418" s="114"/>
    </row>
    <row r="419">
      <c r="O419" s="114"/>
      <c r="P419" s="114"/>
      <c r="Q419" s="114"/>
      <c r="R419" s="114"/>
      <c r="S419" s="114"/>
      <c r="T419" s="114"/>
    </row>
    <row r="420">
      <c r="O420" s="114"/>
      <c r="P420" s="114"/>
      <c r="Q420" s="114"/>
      <c r="R420" s="114"/>
      <c r="S420" s="114"/>
      <c r="T420" s="114"/>
    </row>
    <row r="421">
      <c r="O421" s="114"/>
      <c r="P421" s="114"/>
      <c r="Q421" s="114"/>
      <c r="R421" s="114"/>
      <c r="S421" s="114"/>
      <c r="T421" s="114"/>
    </row>
    <row r="422">
      <c r="O422" s="114"/>
      <c r="P422" s="114"/>
      <c r="Q422" s="114"/>
      <c r="R422" s="114"/>
      <c r="S422" s="114"/>
      <c r="T422" s="114"/>
    </row>
    <row r="423">
      <c r="O423" s="114"/>
      <c r="P423" s="114"/>
      <c r="Q423" s="114"/>
      <c r="R423" s="114"/>
      <c r="S423" s="114"/>
      <c r="T423" s="114"/>
    </row>
    <row r="424">
      <c r="O424" s="114"/>
      <c r="P424" s="114"/>
      <c r="Q424" s="114"/>
      <c r="R424" s="114"/>
      <c r="S424" s="114"/>
      <c r="T424" s="114"/>
    </row>
    <row r="425">
      <c r="O425" s="114"/>
      <c r="P425" s="114"/>
      <c r="Q425" s="114"/>
      <c r="R425" s="114"/>
      <c r="S425" s="114"/>
      <c r="T425" s="114"/>
    </row>
    <row r="426">
      <c r="O426" s="114"/>
      <c r="P426" s="114"/>
      <c r="Q426" s="114"/>
      <c r="R426" s="114"/>
      <c r="S426" s="114"/>
      <c r="T426" s="114"/>
    </row>
    <row r="427">
      <c r="O427" s="114"/>
      <c r="P427" s="114"/>
      <c r="Q427" s="114"/>
      <c r="R427" s="114"/>
      <c r="S427" s="114"/>
      <c r="T427" s="114"/>
    </row>
    <row r="428">
      <c r="O428" s="114"/>
      <c r="P428" s="114"/>
      <c r="Q428" s="114"/>
      <c r="R428" s="114"/>
      <c r="S428" s="114"/>
      <c r="T428" s="114"/>
    </row>
    <row r="429">
      <c r="O429" s="114"/>
      <c r="P429" s="114"/>
      <c r="Q429" s="114"/>
      <c r="R429" s="114"/>
      <c r="S429" s="114"/>
      <c r="T429" s="114"/>
    </row>
    <row r="430">
      <c r="O430" s="114"/>
      <c r="P430" s="114"/>
      <c r="Q430" s="114"/>
      <c r="R430" s="114"/>
      <c r="S430" s="114"/>
      <c r="T430" s="114"/>
    </row>
    <row r="431">
      <c r="O431" s="114"/>
      <c r="P431" s="114"/>
      <c r="Q431" s="114"/>
      <c r="R431" s="114"/>
      <c r="S431" s="114"/>
      <c r="T431" s="114"/>
    </row>
    <row r="432">
      <c r="O432" s="114"/>
      <c r="P432" s="114"/>
      <c r="Q432" s="114"/>
      <c r="R432" s="114"/>
      <c r="S432" s="114"/>
      <c r="T432" s="114"/>
    </row>
    <row r="433">
      <c r="O433" s="114"/>
      <c r="P433" s="114"/>
      <c r="Q433" s="114"/>
      <c r="R433" s="114"/>
      <c r="S433" s="114"/>
      <c r="T433" s="114"/>
    </row>
    <row r="434">
      <c r="O434" s="114"/>
      <c r="P434" s="114"/>
      <c r="Q434" s="114"/>
      <c r="R434" s="114"/>
      <c r="S434" s="114"/>
      <c r="T434" s="114"/>
    </row>
    <row r="435">
      <c r="O435" s="114"/>
      <c r="P435" s="114"/>
      <c r="Q435" s="114"/>
      <c r="R435" s="114"/>
      <c r="S435" s="114"/>
      <c r="T435" s="114"/>
    </row>
    <row r="436">
      <c r="O436" s="114"/>
      <c r="P436" s="114"/>
      <c r="Q436" s="114"/>
      <c r="R436" s="114"/>
      <c r="S436" s="114"/>
      <c r="T436" s="114"/>
    </row>
    <row r="437">
      <c r="O437" s="114"/>
      <c r="P437" s="114"/>
      <c r="Q437" s="114"/>
      <c r="R437" s="114"/>
      <c r="S437" s="114"/>
      <c r="T437" s="114"/>
    </row>
    <row r="438">
      <c r="O438" s="114"/>
      <c r="P438" s="114"/>
      <c r="Q438" s="114"/>
      <c r="R438" s="114"/>
      <c r="S438" s="114"/>
      <c r="T438" s="114"/>
    </row>
    <row r="439">
      <c r="O439" s="114"/>
      <c r="P439" s="114"/>
      <c r="Q439" s="114"/>
      <c r="R439" s="114"/>
      <c r="S439" s="114"/>
      <c r="T439" s="114"/>
    </row>
    <row r="440">
      <c r="O440" s="114"/>
      <c r="P440" s="114"/>
      <c r="Q440" s="114"/>
      <c r="R440" s="114"/>
      <c r="S440" s="114"/>
      <c r="T440" s="114"/>
    </row>
    <row r="441">
      <c r="O441" s="114"/>
      <c r="P441" s="114"/>
      <c r="Q441" s="114"/>
      <c r="R441" s="114"/>
      <c r="S441" s="114"/>
      <c r="T441" s="114"/>
    </row>
    <row r="442">
      <c r="O442" s="114"/>
      <c r="P442" s="114"/>
      <c r="Q442" s="114"/>
      <c r="R442" s="114"/>
      <c r="S442" s="114"/>
      <c r="T442" s="114"/>
    </row>
    <row r="443">
      <c r="O443" s="114"/>
      <c r="P443" s="114"/>
      <c r="Q443" s="114"/>
      <c r="R443" s="114"/>
      <c r="S443" s="114"/>
      <c r="T443" s="114"/>
    </row>
    <row r="444">
      <c r="O444" s="114"/>
      <c r="P444" s="114"/>
      <c r="Q444" s="114"/>
      <c r="R444" s="114"/>
      <c r="S444" s="114"/>
      <c r="T444" s="114"/>
    </row>
    <row r="445">
      <c r="O445" s="114"/>
      <c r="P445" s="114"/>
      <c r="Q445" s="114"/>
      <c r="R445" s="114"/>
      <c r="S445" s="114"/>
      <c r="T445" s="114"/>
    </row>
    <row r="446">
      <c r="O446" s="114"/>
      <c r="P446" s="114"/>
      <c r="Q446" s="114"/>
      <c r="R446" s="114"/>
      <c r="S446" s="114"/>
      <c r="T446" s="114"/>
    </row>
    <row r="447">
      <c r="O447" s="114"/>
      <c r="P447" s="114"/>
      <c r="Q447" s="114"/>
      <c r="R447" s="114"/>
      <c r="S447" s="114"/>
      <c r="T447" s="114"/>
    </row>
    <row r="448">
      <c r="O448" s="114"/>
      <c r="P448" s="114"/>
      <c r="Q448" s="114"/>
      <c r="R448" s="114"/>
      <c r="S448" s="114"/>
      <c r="T448" s="114"/>
    </row>
    <row r="449">
      <c r="O449" s="114"/>
      <c r="P449" s="114"/>
      <c r="Q449" s="114"/>
      <c r="R449" s="114"/>
      <c r="S449" s="114"/>
      <c r="T449" s="114"/>
    </row>
    <row r="450">
      <c r="O450" s="114"/>
      <c r="P450" s="114"/>
      <c r="Q450" s="114"/>
      <c r="R450" s="114"/>
      <c r="S450" s="114"/>
      <c r="T450" s="114"/>
    </row>
    <row r="451">
      <c r="O451" s="114"/>
      <c r="P451" s="114"/>
      <c r="Q451" s="114"/>
      <c r="R451" s="114"/>
      <c r="S451" s="114"/>
      <c r="T451" s="114"/>
    </row>
    <row r="452">
      <c r="O452" s="114"/>
      <c r="P452" s="114"/>
      <c r="Q452" s="114"/>
      <c r="R452" s="114"/>
      <c r="S452" s="114"/>
      <c r="T452" s="114"/>
    </row>
    <row r="453">
      <c r="O453" s="114"/>
      <c r="P453" s="114"/>
      <c r="Q453" s="114"/>
      <c r="R453" s="114"/>
      <c r="S453" s="114"/>
      <c r="T453" s="114"/>
    </row>
    <row r="454">
      <c r="O454" s="114"/>
      <c r="P454" s="114"/>
      <c r="Q454" s="114"/>
      <c r="R454" s="114"/>
      <c r="S454" s="114"/>
      <c r="T454" s="114"/>
    </row>
    <row r="455">
      <c r="O455" s="114"/>
      <c r="P455" s="114"/>
      <c r="Q455" s="114"/>
      <c r="R455" s="114"/>
      <c r="S455" s="114"/>
      <c r="T455" s="114"/>
    </row>
    <row r="456">
      <c r="O456" s="114"/>
      <c r="P456" s="114"/>
      <c r="Q456" s="114"/>
      <c r="R456" s="114"/>
      <c r="S456" s="114"/>
      <c r="T456" s="114"/>
    </row>
    <row r="457">
      <c r="O457" s="114"/>
      <c r="P457" s="114"/>
      <c r="Q457" s="114"/>
      <c r="R457" s="114"/>
      <c r="S457" s="114"/>
      <c r="T457" s="114"/>
    </row>
    <row r="458">
      <c r="O458" s="114"/>
      <c r="P458" s="114"/>
      <c r="Q458" s="114"/>
      <c r="R458" s="114"/>
      <c r="S458" s="114"/>
      <c r="T458" s="114"/>
    </row>
    <row r="459">
      <c r="O459" s="114"/>
      <c r="P459" s="114"/>
      <c r="Q459" s="114"/>
      <c r="R459" s="114"/>
      <c r="S459" s="114"/>
      <c r="T459" s="114"/>
    </row>
    <row r="460">
      <c r="O460" s="114"/>
      <c r="P460" s="114"/>
      <c r="Q460" s="114"/>
      <c r="R460" s="114"/>
      <c r="S460" s="114"/>
      <c r="T460" s="114"/>
    </row>
    <row r="461">
      <c r="O461" s="114"/>
      <c r="P461" s="114"/>
      <c r="Q461" s="114"/>
      <c r="R461" s="114"/>
      <c r="S461" s="114"/>
      <c r="T461" s="114"/>
    </row>
    <row r="462">
      <c r="O462" s="114"/>
      <c r="P462" s="114"/>
      <c r="Q462" s="114"/>
      <c r="R462" s="114"/>
      <c r="S462" s="114"/>
      <c r="T462" s="114"/>
    </row>
    <row r="463">
      <c r="O463" s="114"/>
      <c r="P463" s="114"/>
      <c r="Q463" s="114"/>
      <c r="R463" s="114"/>
      <c r="S463" s="114"/>
      <c r="T463" s="114"/>
    </row>
    <row r="464">
      <c r="O464" s="114"/>
      <c r="P464" s="114"/>
      <c r="Q464" s="114"/>
      <c r="R464" s="114"/>
      <c r="S464" s="114"/>
      <c r="T464" s="114"/>
    </row>
    <row r="465">
      <c r="O465" s="114"/>
      <c r="P465" s="114"/>
      <c r="Q465" s="114"/>
      <c r="R465" s="114"/>
      <c r="S465" s="114"/>
      <c r="T465" s="114"/>
    </row>
    <row r="466">
      <c r="O466" s="114"/>
      <c r="P466" s="114"/>
      <c r="Q466" s="114"/>
      <c r="R466" s="114"/>
      <c r="S466" s="114"/>
      <c r="T466" s="114"/>
    </row>
    <row r="467">
      <c r="O467" s="114"/>
      <c r="P467" s="114"/>
      <c r="Q467" s="114"/>
      <c r="R467" s="114"/>
      <c r="S467" s="114"/>
      <c r="T467" s="114"/>
    </row>
    <row r="468">
      <c r="O468" s="114"/>
      <c r="P468" s="114"/>
      <c r="Q468" s="114"/>
      <c r="R468" s="114"/>
      <c r="S468" s="114"/>
      <c r="T468" s="114"/>
    </row>
    <row r="469">
      <c r="O469" s="114"/>
      <c r="P469" s="114"/>
      <c r="Q469" s="114"/>
      <c r="R469" s="114"/>
      <c r="S469" s="114"/>
      <c r="T469" s="114"/>
    </row>
    <row r="470">
      <c r="O470" s="114"/>
      <c r="P470" s="114"/>
      <c r="Q470" s="114"/>
      <c r="R470" s="114"/>
      <c r="S470" s="114"/>
      <c r="T470" s="114"/>
    </row>
    <row r="471">
      <c r="O471" s="114"/>
      <c r="P471" s="114"/>
      <c r="Q471" s="114"/>
      <c r="R471" s="114"/>
      <c r="S471" s="114"/>
      <c r="T471" s="114"/>
    </row>
    <row r="472">
      <c r="O472" s="114"/>
      <c r="P472" s="114"/>
      <c r="Q472" s="114"/>
      <c r="R472" s="114"/>
      <c r="S472" s="114"/>
      <c r="T472" s="114"/>
    </row>
    <row r="473">
      <c r="O473" s="114"/>
      <c r="P473" s="114"/>
      <c r="Q473" s="114"/>
      <c r="R473" s="114"/>
      <c r="S473" s="114"/>
      <c r="T473" s="114"/>
    </row>
    <row r="474">
      <c r="O474" s="114"/>
      <c r="P474" s="114"/>
      <c r="Q474" s="114"/>
      <c r="R474" s="114"/>
      <c r="S474" s="114"/>
      <c r="T474" s="114"/>
    </row>
    <row r="475">
      <c r="O475" s="114"/>
      <c r="P475" s="114"/>
      <c r="Q475" s="114"/>
      <c r="R475" s="114"/>
      <c r="S475" s="114"/>
      <c r="T475" s="114"/>
    </row>
    <row r="476">
      <c r="O476" s="114"/>
      <c r="P476" s="114"/>
      <c r="Q476" s="114"/>
      <c r="R476" s="114"/>
      <c r="S476" s="114"/>
      <c r="T476" s="114"/>
    </row>
    <row r="477">
      <c r="O477" s="114"/>
      <c r="P477" s="114"/>
      <c r="Q477" s="114"/>
      <c r="R477" s="114"/>
      <c r="S477" s="114"/>
      <c r="T477" s="114"/>
    </row>
    <row r="478">
      <c r="O478" s="114"/>
      <c r="P478" s="114"/>
      <c r="Q478" s="114"/>
      <c r="R478" s="114"/>
      <c r="S478" s="114"/>
      <c r="T478" s="114"/>
    </row>
    <row r="479">
      <c r="O479" s="114"/>
      <c r="P479" s="114"/>
      <c r="Q479" s="114"/>
      <c r="R479" s="114"/>
      <c r="S479" s="114"/>
      <c r="T479" s="114"/>
    </row>
    <row r="480">
      <c r="O480" s="114"/>
      <c r="P480" s="114"/>
      <c r="Q480" s="114"/>
      <c r="R480" s="114"/>
      <c r="S480" s="114"/>
      <c r="T480" s="114"/>
    </row>
    <row r="481">
      <c r="O481" s="114"/>
      <c r="P481" s="114"/>
      <c r="Q481" s="114"/>
      <c r="R481" s="114"/>
      <c r="S481" s="114"/>
      <c r="T481" s="114"/>
    </row>
    <row r="482">
      <c r="O482" s="114"/>
      <c r="P482" s="114"/>
      <c r="Q482" s="114"/>
      <c r="R482" s="114"/>
      <c r="S482" s="114"/>
      <c r="T482" s="114"/>
    </row>
    <row r="483">
      <c r="O483" s="114"/>
      <c r="P483" s="114"/>
      <c r="Q483" s="114"/>
      <c r="R483" s="114"/>
      <c r="S483" s="114"/>
      <c r="T483" s="114"/>
    </row>
    <row r="484">
      <c r="O484" s="114"/>
      <c r="P484" s="114"/>
      <c r="Q484" s="114"/>
      <c r="R484" s="114"/>
      <c r="S484" s="114"/>
      <c r="T484" s="114"/>
    </row>
    <row r="485">
      <c r="O485" s="114"/>
      <c r="P485" s="114"/>
      <c r="Q485" s="114"/>
      <c r="R485" s="114"/>
      <c r="S485" s="114"/>
      <c r="T485" s="114"/>
    </row>
    <row r="486">
      <c r="O486" s="114"/>
      <c r="P486" s="114"/>
      <c r="Q486" s="114"/>
      <c r="R486" s="114"/>
      <c r="S486" s="114"/>
      <c r="T486" s="114"/>
    </row>
    <row r="487">
      <c r="O487" s="114"/>
      <c r="P487" s="114"/>
      <c r="Q487" s="114"/>
      <c r="R487" s="114"/>
      <c r="S487" s="114"/>
      <c r="T487" s="114"/>
    </row>
    <row r="488">
      <c r="O488" s="114"/>
      <c r="P488" s="114"/>
      <c r="Q488" s="114"/>
      <c r="R488" s="114"/>
      <c r="S488" s="114"/>
      <c r="T488" s="114"/>
    </row>
    <row r="489">
      <c r="O489" s="114"/>
      <c r="P489" s="114"/>
      <c r="Q489" s="114"/>
      <c r="R489" s="114"/>
      <c r="S489" s="114"/>
      <c r="T489" s="114"/>
    </row>
    <row r="490">
      <c r="O490" s="114"/>
      <c r="P490" s="114"/>
      <c r="Q490" s="114"/>
      <c r="R490" s="114"/>
      <c r="S490" s="114"/>
      <c r="T490" s="114"/>
    </row>
    <row r="491">
      <c r="O491" s="114"/>
      <c r="P491" s="114"/>
      <c r="Q491" s="114"/>
      <c r="R491" s="114"/>
      <c r="S491" s="114"/>
      <c r="T491" s="114"/>
    </row>
    <row r="492">
      <c r="O492" s="114"/>
      <c r="P492" s="114"/>
      <c r="Q492" s="114"/>
      <c r="R492" s="114"/>
      <c r="S492" s="114"/>
      <c r="T492" s="114"/>
    </row>
    <row r="493">
      <c r="O493" s="114"/>
      <c r="P493" s="114"/>
      <c r="Q493" s="114"/>
      <c r="R493" s="114"/>
      <c r="S493" s="114"/>
      <c r="T493" s="114"/>
    </row>
    <row r="494">
      <c r="O494" s="114"/>
      <c r="P494" s="114"/>
      <c r="Q494" s="114"/>
      <c r="R494" s="114"/>
      <c r="S494" s="114"/>
      <c r="T494" s="114"/>
    </row>
    <row r="495">
      <c r="O495" s="114"/>
      <c r="P495" s="114"/>
      <c r="Q495" s="114"/>
      <c r="R495" s="114"/>
      <c r="S495" s="114"/>
      <c r="T495" s="114"/>
    </row>
    <row r="496">
      <c r="O496" s="114"/>
      <c r="P496" s="114"/>
      <c r="Q496" s="114"/>
      <c r="R496" s="114"/>
      <c r="S496" s="114"/>
      <c r="T496" s="114"/>
    </row>
    <row r="497">
      <c r="O497" s="114"/>
      <c r="P497" s="114"/>
      <c r="Q497" s="114"/>
      <c r="R497" s="114"/>
      <c r="S497" s="114"/>
      <c r="T497" s="114"/>
    </row>
    <row r="498">
      <c r="O498" s="114"/>
      <c r="P498" s="114"/>
      <c r="Q498" s="114"/>
      <c r="R498" s="114"/>
      <c r="S498" s="114"/>
      <c r="T498" s="114"/>
    </row>
    <row r="499">
      <c r="O499" s="114"/>
      <c r="P499" s="114"/>
      <c r="Q499" s="114"/>
      <c r="R499" s="114"/>
      <c r="S499" s="114"/>
      <c r="T499" s="114"/>
    </row>
    <row r="500">
      <c r="O500" s="114"/>
      <c r="P500" s="114"/>
      <c r="Q500" s="114"/>
      <c r="R500" s="114"/>
      <c r="S500" s="114"/>
      <c r="T500" s="114"/>
    </row>
    <row r="501">
      <c r="O501" s="114"/>
      <c r="P501" s="114"/>
      <c r="Q501" s="114"/>
      <c r="R501" s="114"/>
      <c r="S501" s="114"/>
      <c r="T501" s="114"/>
    </row>
    <row r="502">
      <c r="O502" s="114"/>
      <c r="P502" s="114"/>
      <c r="Q502" s="114"/>
      <c r="R502" s="114"/>
      <c r="S502" s="114"/>
      <c r="T502" s="114"/>
    </row>
    <row r="503">
      <c r="O503" s="114"/>
      <c r="P503" s="114"/>
      <c r="Q503" s="114"/>
      <c r="R503" s="114"/>
      <c r="S503" s="114"/>
      <c r="T503" s="114"/>
    </row>
    <row r="504">
      <c r="O504" s="114"/>
      <c r="P504" s="114"/>
      <c r="Q504" s="114"/>
      <c r="R504" s="114"/>
      <c r="S504" s="114"/>
      <c r="T504" s="114"/>
    </row>
    <row r="505">
      <c r="O505" s="114"/>
      <c r="P505" s="114"/>
      <c r="Q505" s="114"/>
      <c r="R505" s="114"/>
      <c r="S505" s="114"/>
      <c r="T505" s="114"/>
    </row>
    <row r="506">
      <c r="O506" s="114"/>
      <c r="P506" s="114"/>
      <c r="Q506" s="114"/>
      <c r="R506" s="114"/>
      <c r="S506" s="114"/>
      <c r="T506" s="114"/>
    </row>
    <row r="507">
      <c r="O507" s="114"/>
      <c r="P507" s="114"/>
      <c r="Q507" s="114"/>
      <c r="R507" s="114"/>
      <c r="S507" s="114"/>
      <c r="T507" s="114"/>
    </row>
    <row r="508">
      <c r="O508" s="114"/>
      <c r="P508" s="114"/>
      <c r="Q508" s="114"/>
      <c r="R508" s="114"/>
      <c r="S508" s="114"/>
      <c r="T508" s="114"/>
    </row>
    <row r="509">
      <c r="O509" s="114"/>
      <c r="P509" s="114"/>
      <c r="Q509" s="114"/>
      <c r="R509" s="114"/>
      <c r="S509" s="114"/>
      <c r="T509" s="114"/>
    </row>
    <row r="510">
      <c r="O510" s="114"/>
      <c r="P510" s="114"/>
      <c r="Q510" s="114"/>
      <c r="R510" s="114"/>
      <c r="S510" s="114"/>
      <c r="T510" s="114"/>
    </row>
    <row r="511">
      <c r="O511" s="114"/>
      <c r="P511" s="114"/>
      <c r="Q511" s="114"/>
      <c r="R511" s="114"/>
      <c r="S511" s="114"/>
      <c r="T511" s="114"/>
    </row>
    <row r="512">
      <c r="O512" s="114"/>
      <c r="P512" s="114"/>
      <c r="Q512" s="114"/>
      <c r="R512" s="114"/>
      <c r="S512" s="114"/>
      <c r="T512" s="114"/>
    </row>
    <row r="513">
      <c r="O513" s="114"/>
      <c r="P513" s="114"/>
      <c r="Q513" s="114"/>
      <c r="R513" s="114"/>
      <c r="S513" s="114"/>
      <c r="T513" s="114"/>
    </row>
    <row r="514">
      <c r="O514" s="114"/>
      <c r="P514" s="114"/>
      <c r="Q514" s="114"/>
      <c r="R514" s="114"/>
      <c r="S514" s="114"/>
      <c r="T514" s="114"/>
    </row>
    <row r="515">
      <c r="O515" s="114"/>
      <c r="P515" s="114"/>
      <c r="Q515" s="114"/>
      <c r="R515" s="114"/>
      <c r="S515" s="114"/>
      <c r="T515" s="114"/>
    </row>
    <row r="516">
      <c r="O516" s="114"/>
      <c r="P516" s="114"/>
      <c r="Q516" s="114"/>
      <c r="R516" s="114"/>
      <c r="S516" s="114"/>
      <c r="T516" s="114"/>
    </row>
    <row r="517">
      <c r="O517" s="114"/>
      <c r="P517" s="114"/>
      <c r="Q517" s="114"/>
      <c r="R517" s="114"/>
      <c r="S517" s="114"/>
      <c r="T517" s="114"/>
    </row>
    <row r="518">
      <c r="O518" s="114"/>
      <c r="P518" s="114"/>
      <c r="Q518" s="114"/>
      <c r="R518" s="114"/>
      <c r="S518" s="114"/>
      <c r="T518" s="114"/>
    </row>
    <row r="519">
      <c r="O519" s="114"/>
      <c r="P519" s="114"/>
      <c r="Q519" s="114"/>
      <c r="R519" s="114"/>
      <c r="S519" s="114"/>
      <c r="T519" s="114"/>
    </row>
    <row r="520">
      <c r="O520" s="114"/>
      <c r="P520" s="114"/>
      <c r="Q520" s="114"/>
      <c r="R520" s="114"/>
      <c r="S520" s="114"/>
      <c r="T520" s="114"/>
    </row>
    <row r="521">
      <c r="O521" s="114"/>
      <c r="P521" s="114"/>
      <c r="Q521" s="114"/>
      <c r="R521" s="114"/>
      <c r="S521" s="114"/>
      <c r="T521" s="114"/>
    </row>
    <row r="522">
      <c r="O522" s="114"/>
      <c r="P522" s="114"/>
      <c r="Q522" s="114"/>
      <c r="R522" s="114"/>
      <c r="S522" s="114"/>
      <c r="T522" s="114"/>
    </row>
    <row r="523">
      <c r="O523" s="114"/>
      <c r="P523" s="114"/>
      <c r="Q523" s="114"/>
      <c r="R523" s="114"/>
      <c r="S523" s="114"/>
      <c r="T523" s="114"/>
    </row>
    <row r="524">
      <c r="O524" s="114"/>
      <c r="P524" s="114"/>
      <c r="Q524" s="114"/>
      <c r="R524" s="114"/>
      <c r="S524" s="114"/>
      <c r="T524" s="114"/>
    </row>
    <row r="525">
      <c r="O525" s="114"/>
      <c r="P525" s="114"/>
      <c r="Q525" s="114"/>
      <c r="R525" s="114"/>
      <c r="S525" s="114"/>
      <c r="T525" s="114"/>
    </row>
    <row r="526">
      <c r="O526" s="114"/>
      <c r="P526" s="114"/>
      <c r="Q526" s="114"/>
      <c r="R526" s="114"/>
      <c r="S526" s="114"/>
      <c r="T526" s="114"/>
    </row>
    <row r="527">
      <c r="O527" s="114"/>
      <c r="P527" s="114"/>
      <c r="Q527" s="114"/>
      <c r="R527" s="114"/>
      <c r="S527" s="114"/>
      <c r="T527" s="114"/>
    </row>
    <row r="528">
      <c r="O528" s="114"/>
      <c r="P528" s="114"/>
      <c r="Q528" s="114"/>
      <c r="R528" s="114"/>
      <c r="S528" s="114"/>
      <c r="T528" s="114"/>
    </row>
    <row r="529">
      <c r="O529" s="114"/>
      <c r="P529" s="114"/>
      <c r="Q529" s="114"/>
      <c r="R529" s="114"/>
      <c r="S529" s="114"/>
      <c r="T529" s="114"/>
    </row>
    <row r="530">
      <c r="O530" s="114"/>
      <c r="P530" s="114"/>
      <c r="Q530" s="114"/>
      <c r="R530" s="114"/>
      <c r="S530" s="114"/>
      <c r="T530" s="114"/>
    </row>
    <row r="531">
      <c r="O531" s="114"/>
      <c r="P531" s="114"/>
      <c r="Q531" s="114"/>
      <c r="R531" s="114"/>
      <c r="S531" s="114"/>
      <c r="T531" s="114"/>
    </row>
    <row r="532">
      <c r="O532" s="114"/>
      <c r="P532" s="114"/>
      <c r="Q532" s="114"/>
      <c r="R532" s="114"/>
      <c r="S532" s="114"/>
      <c r="T532" s="114"/>
    </row>
    <row r="533">
      <c r="O533" s="114"/>
      <c r="P533" s="114"/>
      <c r="Q533" s="114"/>
      <c r="R533" s="114"/>
      <c r="S533" s="114"/>
      <c r="T533" s="114"/>
    </row>
    <row r="534">
      <c r="O534" s="114"/>
      <c r="P534" s="114"/>
      <c r="Q534" s="114"/>
      <c r="R534" s="114"/>
      <c r="S534" s="114"/>
      <c r="T534" s="114"/>
    </row>
    <row r="535">
      <c r="O535" s="114"/>
      <c r="P535" s="114"/>
      <c r="Q535" s="114"/>
      <c r="R535" s="114"/>
      <c r="S535" s="114"/>
      <c r="T535" s="114"/>
    </row>
    <row r="536">
      <c r="O536" s="114"/>
      <c r="P536" s="114"/>
      <c r="Q536" s="114"/>
      <c r="R536" s="114"/>
      <c r="S536" s="114"/>
      <c r="T536" s="114"/>
    </row>
    <row r="537">
      <c r="O537" s="114"/>
      <c r="P537" s="114"/>
      <c r="Q537" s="114"/>
      <c r="R537" s="114"/>
      <c r="S537" s="114"/>
      <c r="T537" s="114"/>
    </row>
    <row r="538">
      <c r="O538" s="114"/>
      <c r="P538" s="114"/>
      <c r="Q538" s="114"/>
      <c r="R538" s="114"/>
      <c r="S538" s="114"/>
      <c r="T538" s="114"/>
    </row>
    <row r="539">
      <c r="O539" s="114"/>
      <c r="P539" s="114"/>
      <c r="Q539" s="114"/>
      <c r="R539" s="114"/>
      <c r="S539" s="114"/>
      <c r="T539" s="114"/>
    </row>
    <row r="540">
      <c r="O540" s="114"/>
      <c r="P540" s="114"/>
      <c r="Q540" s="114"/>
      <c r="R540" s="114"/>
      <c r="S540" s="114"/>
      <c r="T540" s="114"/>
    </row>
    <row r="541">
      <c r="O541" s="114"/>
      <c r="P541" s="114"/>
      <c r="Q541" s="114"/>
      <c r="R541" s="114"/>
      <c r="S541" s="114"/>
      <c r="T541" s="114"/>
    </row>
    <row r="542">
      <c r="O542" s="114"/>
      <c r="P542" s="114"/>
      <c r="Q542" s="114"/>
      <c r="R542" s="114"/>
      <c r="S542" s="114"/>
      <c r="T542" s="114"/>
    </row>
    <row r="543">
      <c r="O543" s="114"/>
      <c r="P543" s="114"/>
      <c r="Q543" s="114"/>
      <c r="R543" s="114"/>
      <c r="S543" s="114"/>
      <c r="T543" s="114"/>
    </row>
    <row r="544">
      <c r="O544" s="114"/>
      <c r="P544" s="114"/>
      <c r="Q544" s="114"/>
      <c r="R544" s="114"/>
      <c r="S544" s="114"/>
      <c r="T544" s="114"/>
    </row>
    <row r="545">
      <c r="O545" s="114"/>
      <c r="P545" s="114"/>
      <c r="Q545" s="114"/>
      <c r="R545" s="114"/>
      <c r="S545" s="114"/>
      <c r="T545" s="114"/>
    </row>
    <row r="546">
      <c r="O546" s="114"/>
      <c r="P546" s="114"/>
      <c r="Q546" s="114"/>
      <c r="R546" s="114"/>
      <c r="S546" s="114"/>
      <c r="T546" s="114"/>
    </row>
    <row r="547">
      <c r="O547" s="114"/>
      <c r="P547" s="114"/>
      <c r="Q547" s="114"/>
      <c r="R547" s="114"/>
      <c r="S547" s="114"/>
      <c r="T547" s="114"/>
    </row>
    <row r="548">
      <c r="O548" s="114"/>
      <c r="P548" s="114"/>
      <c r="Q548" s="114"/>
      <c r="R548" s="114"/>
      <c r="S548" s="114"/>
      <c r="T548" s="114"/>
    </row>
    <row r="549">
      <c r="O549" s="114"/>
      <c r="P549" s="114"/>
      <c r="Q549" s="114"/>
      <c r="R549" s="114"/>
      <c r="S549" s="114"/>
      <c r="T549" s="114"/>
    </row>
    <row r="550">
      <c r="O550" s="114"/>
      <c r="P550" s="114"/>
      <c r="Q550" s="114"/>
      <c r="R550" s="114"/>
      <c r="S550" s="114"/>
      <c r="T550" s="114"/>
    </row>
    <row r="551">
      <c r="O551" s="114"/>
      <c r="P551" s="114"/>
      <c r="Q551" s="114"/>
      <c r="R551" s="114"/>
      <c r="S551" s="114"/>
      <c r="T551" s="114"/>
    </row>
    <row r="552">
      <c r="O552" s="114"/>
      <c r="P552" s="114"/>
      <c r="Q552" s="114"/>
      <c r="R552" s="114"/>
      <c r="S552" s="114"/>
      <c r="T552" s="114"/>
    </row>
    <row r="553">
      <c r="O553" s="114"/>
      <c r="P553" s="114"/>
      <c r="Q553" s="114"/>
      <c r="R553" s="114"/>
      <c r="S553" s="114"/>
      <c r="T553" s="114"/>
    </row>
    <row r="554">
      <c r="O554" s="114"/>
      <c r="P554" s="114"/>
      <c r="Q554" s="114"/>
      <c r="R554" s="114"/>
      <c r="S554" s="114"/>
      <c r="T554" s="114"/>
    </row>
    <row r="555">
      <c r="O555" s="114"/>
      <c r="P555" s="114"/>
      <c r="Q555" s="114"/>
      <c r="R555" s="114"/>
      <c r="S555" s="114"/>
      <c r="T555" s="114"/>
    </row>
    <row r="556">
      <c r="O556" s="114"/>
      <c r="P556" s="114"/>
      <c r="Q556" s="114"/>
      <c r="R556" s="114"/>
      <c r="S556" s="114"/>
      <c r="T556" s="114"/>
    </row>
    <row r="557">
      <c r="O557" s="114"/>
      <c r="P557" s="114"/>
      <c r="Q557" s="114"/>
      <c r="R557" s="114"/>
      <c r="S557" s="114"/>
      <c r="T557" s="114"/>
    </row>
    <row r="558">
      <c r="O558" s="114"/>
      <c r="P558" s="114"/>
      <c r="Q558" s="114"/>
      <c r="R558" s="114"/>
      <c r="S558" s="114"/>
      <c r="T558" s="114"/>
    </row>
    <row r="559">
      <c r="O559" s="114"/>
      <c r="P559" s="114"/>
      <c r="Q559" s="114"/>
      <c r="R559" s="114"/>
      <c r="S559" s="114"/>
      <c r="T559" s="114"/>
    </row>
    <row r="560">
      <c r="O560" s="114"/>
      <c r="P560" s="114"/>
      <c r="Q560" s="114"/>
      <c r="R560" s="114"/>
      <c r="S560" s="114"/>
      <c r="T560" s="114"/>
    </row>
    <row r="561">
      <c r="O561" s="114"/>
      <c r="P561" s="114"/>
      <c r="Q561" s="114"/>
      <c r="R561" s="114"/>
      <c r="S561" s="114"/>
      <c r="T561" s="114"/>
    </row>
    <row r="562">
      <c r="O562" s="114"/>
      <c r="P562" s="114"/>
      <c r="Q562" s="114"/>
      <c r="R562" s="114"/>
      <c r="S562" s="114"/>
      <c r="T562" s="114"/>
    </row>
    <row r="563">
      <c r="O563" s="114"/>
      <c r="P563" s="114"/>
      <c r="Q563" s="114"/>
      <c r="R563" s="114"/>
      <c r="S563" s="114"/>
      <c r="T563" s="114"/>
    </row>
    <row r="564">
      <c r="O564" s="114"/>
      <c r="P564" s="114"/>
      <c r="Q564" s="114"/>
      <c r="R564" s="114"/>
      <c r="S564" s="114"/>
      <c r="T564" s="114"/>
    </row>
    <row r="565">
      <c r="O565" s="114"/>
      <c r="P565" s="114"/>
      <c r="Q565" s="114"/>
      <c r="R565" s="114"/>
      <c r="S565" s="114"/>
      <c r="T565" s="114"/>
    </row>
    <row r="566">
      <c r="O566" s="114"/>
      <c r="P566" s="114"/>
      <c r="Q566" s="114"/>
      <c r="R566" s="114"/>
      <c r="S566" s="114"/>
      <c r="T566" s="114"/>
    </row>
    <row r="567">
      <c r="O567" s="114"/>
      <c r="P567" s="114"/>
      <c r="Q567" s="114"/>
      <c r="R567" s="114"/>
      <c r="S567" s="114"/>
      <c r="T567" s="114"/>
    </row>
    <row r="568">
      <c r="O568" s="114"/>
      <c r="P568" s="114"/>
      <c r="Q568" s="114"/>
      <c r="R568" s="114"/>
      <c r="S568" s="114"/>
      <c r="T568" s="114"/>
    </row>
    <row r="569">
      <c r="O569" s="114"/>
      <c r="P569" s="114"/>
      <c r="Q569" s="114"/>
      <c r="R569" s="114"/>
      <c r="S569" s="114"/>
      <c r="T569" s="114"/>
    </row>
    <row r="570">
      <c r="O570" s="114"/>
      <c r="P570" s="114"/>
      <c r="Q570" s="114"/>
      <c r="R570" s="114"/>
      <c r="S570" s="114"/>
      <c r="T570" s="114"/>
    </row>
    <row r="571">
      <c r="O571" s="114"/>
      <c r="P571" s="114"/>
      <c r="Q571" s="114"/>
      <c r="R571" s="114"/>
      <c r="S571" s="114"/>
      <c r="T571" s="114"/>
    </row>
    <row r="572">
      <c r="O572" s="114"/>
      <c r="P572" s="114"/>
      <c r="Q572" s="114"/>
      <c r="R572" s="114"/>
      <c r="S572" s="114"/>
      <c r="T572" s="114"/>
    </row>
    <row r="573">
      <c r="O573" s="114"/>
      <c r="P573" s="114"/>
      <c r="Q573" s="114"/>
      <c r="R573" s="114"/>
      <c r="S573" s="114"/>
      <c r="T573" s="114"/>
    </row>
    <row r="574">
      <c r="O574" s="114"/>
      <c r="P574" s="114"/>
      <c r="Q574" s="114"/>
      <c r="R574" s="114"/>
      <c r="S574" s="114"/>
      <c r="T574" s="114"/>
    </row>
    <row r="575">
      <c r="O575" s="114"/>
      <c r="P575" s="114"/>
      <c r="Q575" s="114"/>
      <c r="R575" s="114"/>
      <c r="S575" s="114"/>
      <c r="T575" s="114"/>
    </row>
    <row r="576">
      <c r="O576" s="114"/>
      <c r="P576" s="114"/>
      <c r="Q576" s="114"/>
      <c r="R576" s="114"/>
      <c r="S576" s="114"/>
      <c r="T576" s="114"/>
    </row>
    <row r="577">
      <c r="O577" s="114"/>
      <c r="P577" s="114"/>
      <c r="Q577" s="114"/>
      <c r="R577" s="114"/>
      <c r="S577" s="114"/>
      <c r="T577" s="114"/>
    </row>
    <row r="578">
      <c r="O578" s="114"/>
      <c r="P578" s="114"/>
      <c r="Q578" s="114"/>
      <c r="R578" s="114"/>
      <c r="S578" s="114"/>
      <c r="T578" s="114"/>
    </row>
    <row r="579">
      <c r="O579" s="114"/>
      <c r="P579" s="114"/>
      <c r="Q579" s="114"/>
      <c r="R579" s="114"/>
      <c r="S579" s="114"/>
      <c r="T579" s="114"/>
    </row>
    <row r="580">
      <c r="O580" s="114"/>
      <c r="P580" s="114"/>
      <c r="Q580" s="114"/>
      <c r="R580" s="114"/>
      <c r="S580" s="114"/>
      <c r="T580" s="114"/>
    </row>
    <row r="581">
      <c r="O581" s="114"/>
      <c r="P581" s="114"/>
      <c r="Q581" s="114"/>
      <c r="R581" s="114"/>
      <c r="S581" s="114"/>
      <c r="T581" s="114"/>
    </row>
    <row r="582">
      <c r="O582" s="114"/>
      <c r="P582" s="114"/>
      <c r="Q582" s="114"/>
      <c r="R582" s="114"/>
      <c r="S582" s="114"/>
      <c r="T582" s="114"/>
    </row>
    <row r="583">
      <c r="O583" s="114"/>
      <c r="P583" s="114"/>
      <c r="Q583" s="114"/>
      <c r="R583" s="114"/>
      <c r="S583" s="114"/>
      <c r="T583" s="114"/>
    </row>
    <row r="584">
      <c r="O584" s="114"/>
      <c r="P584" s="114"/>
      <c r="Q584" s="114"/>
      <c r="R584" s="114"/>
      <c r="S584" s="114"/>
      <c r="T584" s="114"/>
    </row>
    <row r="585">
      <c r="O585" s="114"/>
      <c r="P585" s="114"/>
      <c r="Q585" s="114"/>
      <c r="R585" s="114"/>
      <c r="S585" s="114"/>
      <c r="T585" s="114"/>
    </row>
    <row r="586">
      <c r="O586" s="114"/>
      <c r="P586" s="114"/>
      <c r="Q586" s="114"/>
      <c r="R586" s="114"/>
      <c r="S586" s="114"/>
      <c r="T586" s="114"/>
    </row>
    <row r="587">
      <c r="O587" s="114"/>
      <c r="P587" s="114"/>
      <c r="Q587" s="114"/>
      <c r="R587" s="114"/>
      <c r="S587" s="114"/>
      <c r="T587" s="114"/>
    </row>
    <row r="588">
      <c r="O588" s="114"/>
      <c r="P588" s="114"/>
      <c r="Q588" s="114"/>
      <c r="R588" s="114"/>
      <c r="S588" s="114"/>
      <c r="T588" s="114"/>
    </row>
    <row r="589">
      <c r="O589" s="114"/>
      <c r="P589" s="114"/>
      <c r="Q589" s="114"/>
      <c r="R589" s="114"/>
      <c r="S589" s="114"/>
      <c r="T589" s="114"/>
    </row>
    <row r="590">
      <c r="O590" s="114"/>
      <c r="P590" s="114"/>
      <c r="Q590" s="114"/>
      <c r="R590" s="114"/>
      <c r="S590" s="114"/>
      <c r="T590" s="114"/>
    </row>
    <row r="591">
      <c r="O591" s="114"/>
      <c r="P591" s="114"/>
      <c r="Q591" s="114"/>
      <c r="R591" s="114"/>
      <c r="S591" s="114"/>
      <c r="T591" s="114"/>
    </row>
    <row r="592">
      <c r="O592" s="114"/>
      <c r="P592" s="114"/>
      <c r="Q592" s="114"/>
      <c r="R592" s="114"/>
      <c r="S592" s="114"/>
      <c r="T592" s="114"/>
    </row>
    <row r="593">
      <c r="O593" s="114"/>
      <c r="P593" s="114"/>
      <c r="Q593" s="114"/>
      <c r="R593" s="114"/>
      <c r="S593" s="114"/>
      <c r="T593" s="114"/>
    </row>
    <row r="594">
      <c r="O594" s="114"/>
      <c r="P594" s="114"/>
      <c r="Q594" s="114"/>
      <c r="R594" s="114"/>
      <c r="S594" s="114"/>
      <c r="T594" s="114"/>
    </row>
    <row r="595">
      <c r="O595" s="114"/>
      <c r="P595" s="114"/>
      <c r="Q595" s="114"/>
      <c r="R595" s="114"/>
      <c r="S595" s="114"/>
      <c r="T595" s="114"/>
    </row>
    <row r="596">
      <c r="O596" s="114"/>
      <c r="P596" s="114"/>
      <c r="Q596" s="114"/>
      <c r="R596" s="114"/>
      <c r="S596" s="114"/>
      <c r="T596" s="114"/>
    </row>
    <row r="597">
      <c r="O597" s="114"/>
      <c r="P597" s="114"/>
      <c r="Q597" s="114"/>
      <c r="R597" s="114"/>
      <c r="S597" s="114"/>
      <c r="T597" s="114"/>
    </row>
    <row r="598">
      <c r="O598" s="114"/>
      <c r="P598" s="114"/>
      <c r="Q598" s="114"/>
      <c r="R598" s="114"/>
      <c r="S598" s="114"/>
      <c r="T598" s="114"/>
    </row>
    <row r="599">
      <c r="O599" s="114"/>
      <c r="P599" s="114"/>
      <c r="Q599" s="114"/>
      <c r="R599" s="114"/>
      <c r="S599" s="114"/>
      <c r="T599" s="114"/>
    </row>
    <row r="600">
      <c r="O600" s="114"/>
      <c r="P600" s="114"/>
      <c r="Q600" s="114"/>
      <c r="R600" s="114"/>
      <c r="S600" s="114"/>
      <c r="T600" s="114"/>
    </row>
    <row r="601">
      <c r="O601" s="114"/>
      <c r="P601" s="114"/>
      <c r="Q601" s="114"/>
      <c r="R601" s="114"/>
      <c r="S601" s="114"/>
      <c r="T601" s="114"/>
    </row>
    <row r="602">
      <c r="O602" s="114"/>
      <c r="P602" s="114"/>
      <c r="Q602" s="114"/>
      <c r="R602" s="114"/>
      <c r="S602" s="114"/>
      <c r="T602" s="114"/>
    </row>
    <row r="603">
      <c r="O603" s="114"/>
      <c r="P603" s="114"/>
      <c r="Q603" s="114"/>
      <c r="R603" s="114"/>
      <c r="S603" s="114"/>
      <c r="T603" s="114"/>
    </row>
    <row r="604">
      <c r="O604" s="114"/>
      <c r="P604" s="114"/>
      <c r="Q604" s="114"/>
      <c r="R604" s="114"/>
      <c r="S604" s="114"/>
      <c r="T604" s="114"/>
    </row>
    <row r="605">
      <c r="O605" s="114"/>
      <c r="P605" s="114"/>
      <c r="Q605" s="114"/>
      <c r="R605" s="114"/>
      <c r="S605" s="114"/>
      <c r="T605" s="114"/>
    </row>
    <row r="606">
      <c r="O606" s="114"/>
      <c r="P606" s="114"/>
      <c r="Q606" s="114"/>
      <c r="R606" s="114"/>
      <c r="S606" s="114"/>
      <c r="T606" s="114"/>
    </row>
    <row r="607">
      <c r="O607" s="114"/>
      <c r="P607" s="114"/>
      <c r="Q607" s="114"/>
      <c r="R607" s="114"/>
      <c r="S607" s="114"/>
      <c r="T607" s="114"/>
    </row>
    <row r="608">
      <c r="O608" s="114"/>
      <c r="P608" s="114"/>
      <c r="Q608" s="114"/>
      <c r="R608" s="114"/>
      <c r="S608" s="114"/>
      <c r="T608" s="114"/>
    </row>
    <row r="609">
      <c r="O609" s="114"/>
      <c r="P609" s="114"/>
      <c r="Q609" s="114"/>
      <c r="R609" s="114"/>
      <c r="S609" s="114"/>
      <c r="T609" s="114"/>
    </row>
    <row r="610">
      <c r="O610" s="114"/>
      <c r="P610" s="114"/>
      <c r="Q610" s="114"/>
      <c r="R610" s="114"/>
      <c r="S610" s="114"/>
      <c r="T610" s="114"/>
    </row>
    <row r="611">
      <c r="O611" s="114"/>
      <c r="P611" s="114"/>
      <c r="Q611" s="114"/>
      <c r="R611" s="114"/>
      <c r="S611" s="114"/>
      <c r="T611" s="114"/>
    </row>
    <row r="612">
      <c r="O612" s="114"/>
      <c r="P612" s="114"/>
      <c r="Q612" s="114"/>
      <c r="R612" s="114"/>
      <c r="S612" s="114"/>
      <c r="T612" s="114"/>
    </row>
    <row r="613">
      <c r="O613" s="114"/>
      <c r="P613" s="114"/>
      <c r="Q613" s="114"/>
      <c r="R613" s="114"/>
      <c r="S613" s="114"/>
      <c r="T613" s="114"/>
    </row>
    <row r="614">
      <c r="O614" s="114"/>
      <c r="P614" s="114"/>
      <c r="Q614" s="114"/>
      <c r="R614" s="114"/>
      <c r="S614" s="114"/>
      <c r="T614" s="114"/>
    </row>
    <row r="615">
      <c r="O615" s="114"/>
      <c r="P615" s="114"/>
      <c r="Q615" s="114"/>
      <c r="R615" s="114"/>
      <c r="S615" s="114"/>
      <c r="T615" s="114"/>
    </row>
    <row r="616">
      <c r="O616" s="114"/>
      <c r="P616" s="114"/>
      <c r="Q616" s="114"/>
      <c r="R616" s="114"/>
      <c r="S616" s="114"/>
      <c r="T616" s="114"/>
    </row>
    <row r="617">
      <c r="O617" s="114"/>
      <c r="P617" s="114"/>
      <c r="Q617" s="114"/>
      <c r="R617" s="114"/>
      <c r="S617" s="114"/>
      <c r="T617" s="114"/>
    </row>
    <row r="618">
      <c r="O618" s="114"/>
      <c r="P618" s="114"/>
      <c r="Q618" s="114"/>
      <c r="R618" s="114"/>
      <c r="S618" s="114"/>
      <c r="T618" s="114"/>
    </row>
    <row r="619">
      <c r="O619" s="114"/>
      <c r="P619" s="114"/>
      <c r="Q619" s="114"/>
      <c r="R619" s="114"/>
      <c r="S619" s="114"/>
      <c r="T619" s="114"/>
    </row>
    <row r="620">
      <c r="O620" s="114"/>
      <c r="P620" s="114"/>
      <c r="Q620" s="114"/>
      <c r="R620" s="114"/>
      <c r="S620" s="114"/>
      <c r="T620" s="114"/>
    </row>
    <row r="621">
      <c r="O621" s="114"/>
      <c r="P621" s="114"/>
      <c r="Q621" s="114"/>
      <c r="R621" s="114"/>
      <c r="S621" s="114"/>
      <c r="T621" s="114"/>
    </row>
    <row r="622">
      <c r="O622" s="114"/>
      <c r="P622" s="114"/>
      <c r="Q622" s="114"/>
      <c r="R622" s="114"/>
      <c r="S622" s="114"/>
      <c r="T622" s="114"/>
    </row>
    <row r="623">
      <c r="O623" s="114"/>
      <c r="P623" s="114"/>
      <c r="Q623" s="114"/>
      <c r="R623" s="114"/>
      <c r="S623" s="114"/>
      <c r="T623" s="114"/>
    </row>
    <row r="624">
      <c r="O624" s="114"/>
      <c r="P624" s="114"/>
      <c r="Q624" s="114"/>
      <c r="R624" s="114"/>
      <c r="S624" s="114"/>
      <c r="T624" s="114"/>
    </row>
    <row r="625">
      <c r="O625" s="114"/>
      <c r="P625" s="114"/>
      <c r="Q625" s="114"/>
      <c r="R625" s="114"/>
      <c r="S625" s="114"/>
      <c r="T625" s="114"/>
    </row>
    <row r="626">
      <c r="O626" s="114"/>
      <c r="P626" s="114"/>
      <c r="Q626" s="114"/>
      <c r="R626" s="114"/>
      <c r="S626" s="114"/>
      <c r="T626" s="114"/>
    </row>
    <row r="627">
      <c r="O627" s="114"/>
      <c r="P627" s="114"/>
      <c r="Q627" s="114"/>
      <c r="R627" s="114"/>
      <c r="S627" s="114"/>
      <c r="T627" s="114"/>
    </row>
    <row r="628">
      <c r="O628" s="114"/>
      <c r="P628" s="114"/>
      <c r="Q628" s="114"/>
      <c r="R628" s="114"/>
      <c r="S628" s="114"/>
      <c r="T628" s="114"/>
    </row>
    <row r="629">
      <c r="O629" s="114"/>
      <c r="P629" s="114"/>
      <c r="Q629" s="114"/>
      <c r="R629" s="114"/>
      <c r="S629" s="114"/>
      <c r="T629" s="114"/>
    </row>
    <row r="630">
      <c r="O630" s="114"/>
      <c r="P630" s="114"/>
      <c r="Q630" s="114"/>
      <c r="R630" s="114"/>
      <c r="S630" s="114"/>
      <c r="T630" s="114"/>
    </row>
    <row r="631">
      <c r="O631" s="114"/>
      <c r="P631" s="114"/>
      <c r="Q631" s="114"/>
      <c r="R631" s="114"/>
      <c r="S631" s="114"/>
      <c r="T631" s="114"/>
    </row>
    <row r="632">
      <c r="O632" s="114"/>
      <c r="P632" s="114"/>
      <c r="Q632" s="114"/>
      <c r="R632" s="114"/>
      <c r="S632" s="114"/>
      <c r="T632" s="114"/>
    </row>
    <row r="633">
      <c r="O633" s="114"/>
      <c r="P633" s="114"/>
      <c r="Q633" s="114"/>
      <c r="R633" s="114"/>
      <c r="S633" s="114"/>
      <c r="T633" s="114"/>
    </row>
    <row r="634">
      <c r="O634" s="114"/>
      <c r="P634" s="114"/>
      <c r="Q634" s="114"/>
      <c r="R634" s="114"/>
      <c r="S634" s="114"/>
      <c r="T634" s="114"/>
    </row>
    <row r="635">
      <c r="O635" s="114"/>
      <c r="P635" s="114"/>
      <c r="Q635" s="114"/>
      <c r="R635" s="114"/>
      <c r="S635" s="114"/>
      <c r="T635" s="114"/>
    </row>
    <row r="636">
      <c r="O636" s="114"/>
      <c r="P636" s="114"/>
      <c r="Q636" s="114"/>
      <c r="R636" s="114"/>
      <c r="S636" s="114"/>
      <c r="T636" s="114"/>
    </row>
    <row r="637">
      <c r="O637" s="114"/>
      <c r="P637" s="114"/>
      <c r="Q637" s="114"/>
      <c r="R637" s="114"/>
      <c r="S637" s="114"/>
      <c r="T637" s="114"/>
    </row>
    <row r="638">
      <c r="O638" s="114"/>
      <c r="P638" s="114"/>
      <c r="Q638" s="114"/>
      <c r="R638" s="114"/>
      <c r="S638" s="114"/>
      <c r="T638" s="114"/>
    </row>
    <row r="639">
      <c r="O639" s="114"/>
      <c r="P639" s="114"/>
      <c r="Q639" s="114"/>
      <c r="R639" s="114"/>
      <c r="S639" s="114"/>
      <c r="T639" s="114"/>
    </row>
    <row r="640">
      <c r="O640" s="114"/>
      <c r="P640" s="114"/>
      <c r="Q640" s="114"/>
      <c r="R640" s="114"/>
      <c r="S640" s="114"/>
      <c r="T640" s="114"/>
    </row>
    <row r="641">
      <c r="O641" s="114"/>
      <c r="P641" s="114"/>
      <c r="Q641" s="114"/>
      <c r="R641" s="114"/>
      <c r="S641" s="114"/>
      <c r="T641" s="114"/>
    </row>
    <row r="642">
      <c r="O642" s="114"/>
      <c r="P642" s="114"/>
      <c r="Q642" s="114"/>
      <c r="R642" s="114"/>
      <c r="S642" s="114"/>
      <c r="T642" s="114"/>
    </row>
    <row r="643">
      <c r="O643" s="114"/>
      <c r="P643" s="114"/>
      <c r="Q643" s="114"/>
      <c r="R643" s="114"/>
      <c r="S643" s="114"/>
      <c r="T643" s="114"/>
    </row>
    <row r="644">
      <c r="O644" s="114"/>
      <c r="P644" s="114"/>
      <c r="Q644" s="114"/>
      <c r="R644" s="114"/>
      <c r="S644" s="114"/>
      <c r="T644" s="114"/>
    </row>
    <row r="645">
      <c r="O645" s="114"/>
      <c r="P645" s="114"/>
      <c r="Q645" s="114"/>
      <c r="R645" s="114"/>
      <c r="S645" s="114"/>
      <c r="T645" s="114"/>
    </row>
    <row r="646">
      <c r="O646" s="114"/>
      <c r="P646" s="114"/>
      <c r="Q646" s="114"/>
      <c r="R646" s="114"/>
      <c r="S646" s="114"/>
      <c r="T646" s="114"/>
    </row>
    <row r="647">
      <c r="O647" s="114"/>
      <c r="P647" s="114"/>
      <c r="Q647" s="114"/>
      <c r="R647" s="114"/>
      <c r="S647" s="114"/>
      <c r="T647" s="114"/>
    </row>
    <row r="648">
      <c r="O648" s="114"/>
      <c r="P648" s="114"/>
      <c r="Q648" s="114"/>
      <c r="R648" s="114"/>
      <c r="S648" s="114"/>
      <c r="T648" s="114"/>
    </row>
    <row r="649">
      <c r="O649" s="114"/>
      <c r="P649" s="114"/>
      <c r="Q649" s="114"/>
      <c r="R649" s="114"/>
      <c r="S649" s="114"/>
      <c r="T649" s="114"/>
    </row>
    <row r="650">
      <c r="O650" s="114"/>
      <c r="P650" s="114"/>
      <c r="Q650" s="114"/>
      <c r="R650" s="114"/>
      <c r="S650" s="114"/>
      <c r="T650" s="114"/>
    </row>
    <row r="651">
      <c r="O651" s="114"/>
      <c r="P651" s="114"/>
      <c r="Q651" s="114"/>
      <c r="R651" s="114"/>
      <c r="S651" s="114"/>
      <c r="T651" s="114"/>
    </row>
    <row r="652">
      <c r="O652" s="114"/>
      <c r="P652" s="114"/>
      <c r="Q652" s="114"/>
      <c r="R652" s="114"/>
      <c r="S652" s="114"/>
      <c r="T652" s="114"/>
    </row>
    <row r="653">
      <c r="O653" s="114"/>
      <c r="P653" s="114"/>
      <c r="Q653" s="114"/>
      <c r="R653" s="114"/>
      <c r="S653" s="114"/>
      <c r="T653" s="114"/>
    </row>
    <row r="654">
      <c r="O654" s="114"/>
      <c r="P654" s="114"/>
      <c r="Q654" s="114"/>
      <c r="R654" s="114"/>
      <c r="S654" s="114"/>
      <c r="T654" s="114"/>
    </row>
    <row r="655">
      <c r="O655" s="114"/>
      <c r="P655" s="114"/>
      <c r="Q655" s="114"/>
      <c r="R655" s="114"/>
      <c r="S655" s="114"/>
      <c r="T655" s="114"/>
    </row>
    <row r="656">
      <c r="O656" s="114"/>
      <c r="P656" s="114"/>
      <c r="Q656" s="114"/>
      <c r="R656" s="114"/>
      <c r="S656" s="114"/>
      <c r="T656" s="114"/>
    </row>
    <row r="657">
      <c r="O657" s="114"/>
      <c r="P657" s="114"/>
      <c r="Q657" s="114"/>
      <c r="R657" s="114"/>
      <c r="S657" s="114"/>
      <c r="T657" s="114"/>
    </row>
    <row r="658">
      <c r="O658" s="114"/>
      <c r="P658" s="114"/>
      <c r="Q658" s="114"/>
      <c r="R658" s="114"/>
      <c r="S658" s="114"/>
      <c r="T658" s="114"/>
    </row>
    <row r="659">
      <c r="O659" s="114"/>
      <c r="P659" s="114"/>
      <c r="Q659" s="114"/>
      <c r="R659" s="114"/>
      <c r="S659" s="114"/>
      <c r="T659" s="114"/>
    </row>
    <row r="660">
      <c r="O660" s="114"/>
      <c r="P660" s="114"/>
      <c r="Q660" s="114"/>
      <c r="R660" s="114"/>
      <c r="S660" s="114"/>
      <c r="T660" s="114"/>
    </row>
    <row r="661">
      <c r="O661" s="114"/>
      <c r="P661" s="114"/>
      <c r="Q661" s="114"/>
      <c r="R661" s="114"/>
      <c r="S661" s="114"/>
      <c r="T661" s="114"/>
    </row>
    <row r="662">
      <c r="O662" s="114"/>
      <c r="P662" s="114"/>
      <c r="Q662" s="114"/>
      <c r="R662" s="114"/>
      <c r="S662" s="114"/>
      <c r="T662" s="114"/>
    </row>
    <row r="663">
      <c r="O663" s="114"/>
      <c r="P663" s="114"/>
      <c r="Q663" s="114"/>
      <c r="R663" s="114"/>
      <c r="S663" s="114"/>
      <c r="T663" s="114"/>
    </row>
    <row r="664">
      <c r="O664" s="114"/>
      <c r="P664" s="114"/>
      <c r="Q664" s="114"/>
      <c r="R664" s="114"/>
      <c r="S664" s="114"/>
      <c r="T664" s="114"/>
    </row>
    <row r="665">
      <c r="O665" s="114"/>
      <c r="P665" s="114"/>
      <c r="Q665" s="114"/>
      <c r="R665" s="114"/>
      <c r="S665" s="114"/>
      <c r="T665" s="114"/>
    </row>
    <row r="666">
      <c r="O666" s="114"/>
      <c r="P666" s="114"/>
      <c r="Q666" s="114"/>
      <c r="R666" s="114"/>
      <c r="S666" s="114"/>
      <c r="T666" s="114"/>
    </row>
    <row r="667">
      <c r="O667" s="114"/>
      <c r="P667" s="114"/>
      <c r="Q667" s="114"/>
      <c r="R667" s="114"/>
      <c r="S667" s="114"/>
      <c r="T667" s="114"/>
    </row>
    <row r="668">
      <c r="O668" s="114"/>
      <c r="P668" s="114"/>
      <c r="Q668" s="114"/>
      <c r="R668" s="114"/>
      <c r="S668" s="114"/>
      <c r="T668" s="114"/>
    </row>
    <row r="669">
      <c r="O669" s="114"/>
      <c r="P669" s="114"/>
      <c r="Q669" s="114"/>
      <c r="R669" s="114"/>
      <c r="S669" s="114"/>
      <c r="T669" s="114"/>
    </row>
    <row r="670">
      <c r="O670" s="114"/>
      <c r="P670" s="114"/>
      <c r="Q670" s="114"/>
      <c r="R670" s="114"/>
      <c r="S670" s="114"/>
      <c r="T670" s="114"/>
    </row>
    <row r="671">
      <c r="O671" s="114"/>
      <c r="P671" s="114"/>
      <c r="Q671" s="114"/>
      <c r="R671" s="114"/>
      <c r="S671" s="114"/>
      <c r="T671" s="114"/>
    </row>
    <row r="672">
      <c r="O672" s="114"/>
      <c r="P672" s="114"/>
      <c r="Q672" s="114"/>
      <c r="R672" s="114"/>
      <c r="S672" s="114"/>
      <c r="T672" s="114"/>
    </row>
    <row r="673">
      <c r="O673" s="114"/>
      <c r="P673" s="114"/>
      <c r="Q673" s="114"/>
      <c r="R673" s="114"/>
      <c r="S673" s="114"/>
      <c r="T673" s="114"/>
    </row>
    <row r="674">
      <c r="O674" s="114"/>
      <c r="P674" s="114"/>
      <c r="Q674" s="114"/>
      <c r="R674" s="114"/>
      <c r="S674" s="114"/>
      <c r="T674" s="114"/>
    </row>
    <row r="675">
      <c r="O675" s="114"/>
      <c r="P675" s="114"/>
      <c r="Q675" s="114"/>
      <c r="R675" s="114"/>
      <c r="S675" s="114"/>
      <c r="T675" s="114"/>
    </row>
    <row r="676">
      <c r="O676" s="114"/>
      <c r="P676" s="114"/>
      <c r="Q676" s="114"/>
      <c r="R676" s="114"/>
      <c r="S676" s="114"/>
      <c r="T676" s="114"/>
    </row>
    <row r="677">
      <c r="O677" s="114"/>
      <c r="P677" s="114"/>
      <c r="Q677" s="114"/>
      <c r="R677" s="114"/>
      <c r="S677" s="114"/>
      <c r="T677" s="114"/>
    </row>
    <row r="678">
      <c r="O678" s="114"/>
      <c r="P678" s="114"/>
      <c r="Q678" s="114"/>
      <c r="R678" s="114"/>
      <c r="S678" s="114"/>
      <c r="T678" s="114"/>
    </row>
    <row r="679">
      <c r="O679" s="114"/>
      <c r="P679" s="114"/>
      <c r="Q679" s="114"/>
      <c r="R679" s="114"/>
      <c r="S679" s="114"/>
      <c r="T679" s="114"/>
    </row>
    <row r="680">
      <c r="O680" s="114"/>
      <c r="P680" s="114"/>
      <c r="Q680" s="114"/>
      <c r="R680" s="114"/>
      <c r="S680" s="114"/>
      <c r="T680" s="114"/>
    </row>
    <row r="681">
      <c r="O681" s="114"/>
      <c r="P681" s="114"/>
      <c r="Q681" s="114"/>
      <c r="R681" s="114"/>
      <c r="S681" s="114"/>
      <c r="T681" s="114"/>
    </row>
    <row r="682">
      <c r="O682" s="114"/>
      <c r="P682" s="114"/>
      <c r="Q682" s="114"/>
      <c r="R682" s="114"/>
      <c r="S682" s="114"/>
      <c r="T682" s="114"/>
    </row>
    <row r="683">
      <c r="O683" s="114"/>
      <c r="P683" s="114"/>
      <c r="Q683" s="114"/>
      <c r="R683" s="114"/>
      <c r="S683" s="114"/>
      <c r="T683" s="114"/>
    </row>
    <row r="684">
      <c r="O684" s="114"/>
      <c r="P684" s="114"/>
      <c r="Q684" s="114"/>
      <c r="R684" s="114"/>
      <c r="S684" s="114"/>
      <c r="T684" s="114"/>
    </row>
    <row r="685">
      <c r="O685" s="114"/>
      <c r="P685" s="114"/>
      <c r="Q685" s="114"/>
      <c r="R685" s="114"/>
      <c r="S685" s="114"/>
      <c r="T685" s="114"/>
    </row>
    <row r="686">
      <c r="O686" s="114"/>
      <c r="P686" s="114"/>
      <c r="Q686" s="114"/>
      <c r="R686" s="114"/>
      <c r="S686" s="114"/>
      <c r="T686" s="114"/>
    </row>
    <row r="687">
      <c r="O687" s="114"/>
      <c r="P687" s="114"/>
      <c r="Q687" s="114"/>
      <c r="R687" s="114"/>
      <c r="S687" s="114"/>
      <c r="T687" s="114"/>
    </row>
    <row r="688">
      <c r="O688" s="114"/>
      <c r="P688" s="114"/>
      <c r="Q688" s="114"/>
      <c r="R688" s="114"/>
      <c r="S688" s="114"/>
      <c r="T688" s="114"/>
    </row>
    <row r="689">
      <c r="O689" s="114"/>
      <c r="P689" s="114"/>
      <c r="Q689" s="114"/>
      <c r="R689" s="114"/>
      <c r="S689" s="114"/>
      <c r="T689" s="114"/>
    </row>
    <row r="690">
      <c r="O690" s="114"/>
      <c r="P690" s="114"/>
      <c r="Q690" s="114"/>
      <c r="R690" s="114"/>
      <c r="S690" s="114"/>
      <c r="T690" s="114"/>
    </row>
    <row r="691">
      <c r="O691" s="114"/>
      <c r="P691" s="114"/>
      <c r="Q691" s="114"/>
      <c r="R691" s="114"/>
      <c r="S691" s="114"/>
      <c r="T691" s="114"/>
    </row>
    <row r="692">
      <c r="O692" s="114"/>
      <c r="P692" s="114"/>
      <c r="Q692" s="114"/>
      <c r="R692" s="114"/>
      <c r="S692" s="114"/>
      <c r="T692" s="114"/>
    </row>
    <row r="693">
      <c r="O693" s="114"/>
      <c r="P693" s="114"/>
      <c r="Q693" s="114"/>
      <c r="R693" s="114"/>
      <c r="S693" s="114"/>
      <c r="T693" s="114"/>
    </row>
    <row r="694">
      <c r="O694" s="114"/>
      <c r="P694" s="114"/>
      <c r="Q694" s="114"/>
      <c r="R694" s="114"/>
      <c r="S694" s="114"/>
      <c r="T694" s="114"/>
    </row>
    <row r="695">
      <c r="O695" s="114"/>
      <c r="P695" s="114"/>
      <c r="Q695" s="114"/>
      <c r="R695" s="114"/>
      <c r="S695" s="114"/>
      <c r="T695" s="114"/>
    </row>
    <row r="696">
      <c r="O696" s="114"/>
      <c r="P696" s="114"/>
      <c r="Q696" s="114"/>
      <c r="R696" s="114"/>
      <c r="S696" s="114"/>
      <c r="T696" s="114"/>
    </row>
    <row r="697">
      <c r="O697" s="114"/>
      <c r="P697" s="114"/>
      <c r="Q697" s="114"/>
      <c r="R697" s="114"/>
      <c r="S697" s="114"/>
      <c r="T697" s="114"/>
    </row>
    <row r="698">
      <c r="O698" s="114"/>
      <c r="P698" s="114"/>
      <c r="Q698" s="114"/>
      <c r="R698" s="114"/>
      <c r="S698" s="114"/>
      <c r="T698" s="114"/>
    </row>
    <row r="699">
      <c r="O699" s="114"/>
      <c r="P699" s="114"/>
      <c r="Q699" s="114"/>
      <c r="R699" s="114"/>
      <c r="S699" s="114"/>
      <c r="T699" s="114"/>
    </row>
    <row r="700">
      <c r="O700" s="114"/>
      <c r="P700" s="114"/>
      <c r="Q700" s="114"/>
      <c r="R700" s="114"/>
      <c r="S700" s="114"/>
      <c r="T700" s="114"/>
    </row>
    <row r="701">
      <c r="O701" s="114"/>
      <c r="P701" s="114"/>
      <c r="Q701" s="114"/>
      <c r="R701" s="114"/>
      <c r="S701" s="114"/>
      <c r="T701" s="114"/>
    </row>
    <row r="702">
      <c r="O702" s="114"/>
      <c r="P702" s="114"/>
      <c r="Q702" s="114"/>
      <c r="R702" s="114"/>
      <c r="S702" s="114"/>
      <c r="T702" s="114"/>
    </row>
    <row r="703">
      <c r="O703" s="114"/>
      <c r="P703" s="114"/>
      <c r="Q703" s="114"/>
      <c r="R703" s="114"/>
      <c r="S703" s="114"/>
      <c r="T703" s="114"/>
    </row>
    <row r="704">
      <c r="O704" s="114"/>
      <c r="P704" s="114"/>
      <c r="Q704" s="114"/>
      <c r="R704" s="114"/>
      <c r="S704" s="114"/>
      <c r="T704" s="114"/>
    </row>
    <row r="705">
      <c r="O705" s="114"/>
      <c r="P705" s="114"/>
      <c r="Q705" s="114"/>
      <c r="R705" s="114"/>
      <c r="S705" s="114"/>
      <c r="T705" s="114"/>
    </row>
    <row r="706">
      <c r="O706" s="114"/>
      <c r="P706" s="114"/>
      <c r="Q706" s="114"/>
      <c r="R706" s="114"/>
      <c r="S706" s="114"/>
      <c r="T706" s="114"/>
    </row>
    <row r="707">
      <c r="O707" s="114"/>
      <c r="P707" s="114"/>
      <c r="Q707" s="114"/>
      <c r="R707" s="114"/>
      <c r="S707" s="114"/>
      <c r="T707" s="114"/>
    </row>
    <row r="708">
      <c r="O708" s="114"/>
      <c r="P708" s="114"/>
      <c r="Q708" s="114"/>
      <c r="R708" s="114"/>
      <c r="S708" s="114"/>
      <c r="T708" s="114"/>
    </row>
    <row r="709">
      <c r="O709" s="114"/>
      <c r="P709" s="114"/>
      <c r="Q709" s="114"/>
      <c r="R709" s="114"/>
      <c r="S709" s="114"/>
      <c r="T709" s="114"/>
    </row>
    <row r="710">
      <c r="O710" s="114"/>
      <c r="P710" s="114"/>
      <c r="Q710" s="114"/>
      <c r="R710" s="114"/>
      <c r="S710" s="114"/>
      <c r="T710" s="114"/>
    </row>
    <row r="711">
      <c r="O711" s="114"/>
      <c r="P711" s="114"/>
      <c r="Q711" s="114"/>
      <c r="R711" s="114"/>
      <c r="S711" s="114"/>
      <c r="T711" s="114"/>
    </row>
    <row r="712">
      <c r="O712" s="114"/>
      <c r="P712" s="114"/>
      <c r="Q712" s="114"/>
      <c r="R712" s="114"/>
      <c r="S712" s="114"/>
      <c r="T712" s="114"/>
    </row>
    <row r="713">
      <c r="O713" s="114"/>
      <c r="P713" s="114"/>
      <c r="Q713" s="114"/>
      <c r="R713" s="114"/>
      <c r="S713" s="114"/>
      <c r="T713" s="114"/>
    </row>
    <row r="714">
      <c r="O714" s="114"/>
      <c r="P714" s="114"/>
      <c r="Q714" s="114"/>
      <c r="R714" s="114"/>
      <c r="S714" s="114"/>
      <c r="T714" s="114"/>
    </row>
    <row r="715">
      <c r="O715" s="114"/>
      <c r="P715" s="114"/>
      <c r="Q715" s="114"/>
      <c r="R715" s="114"/>
      <c r="S715" s="114"/>
      <c r="T715" s="114"/>
    </row>
    <row r="716">
      <c r="O716" s="114"/>
      <c r="P716" s="114"/>
      <c r="Q716" s="114"/>
      <c r="R716" s="114"/>
      <c r="S716" s="114"/>
      <c r="T716" s="114"/>
    </row>
    <row r="717">
      <c r="O717" s="114"/>
      <c r="P717" s="114"/>
      <c r="Q717" s="114"/>
      <c r="R717" s="114"/>
      <c r="S717" s="114"/>
      <c r="T717" s="114"/>
    </row>
    <row r="718">
      <c r="O718" s="114"/>
      <c r="P718" s="114"/>
      <c r="Q718" s="114"/>
      <c r="R718" s="114"/>
      <c r="S718" s="114"/>
      <c r="T718" s="114"/>
    </row>
    <row r="719">
      <c r="O719" s="114"/>
      <c r="P719" s="114"/>
      <c r="Q719" s="114"/>
      <c r="R719" s="114"/>
      <c r="S719" s="114"/>
      <c r="T719" s="114"/>
    </row>
    <row r="720">
      <c r="O720" s="114"/>
      <c r="P720" s="114"/>
      <c r="Q720" s="114"/>
      <c r="R720" s="114"/>
      <c r="S720" s="114"/>
      <c r="T720" s="114"/>
    </row>
    <row r="721">
      <c r="O721" s="114"/>
      <c r="P721" s="114"/>
      <c r="Q721" s="114"/>
      <c r="R721" s="114"/>
      <c r="S721" s="114"/>
      <c r="T721" s="114"/>
    </row>
    <row r="722">
      <c r="O722" s="114"/>
      <c r="P722" s="114"/>
      <c r="Q722" s="114"/>
      <c r="R722" s="114"/>
      <c r="S722" s="114"/>
      <c r="T722" s="114"/>
    </row>
    <row r="723">
      <c r="O723" s="114"/>
      <c r="P723" s="114"/>
      <c r="Q723" s="114"/>
      <c r="R723" s="114"/>
      <c r="S723" s="114"/>
      <c r="T723" s="114"/>
    </row>
    <row r="724">
      <c r="O724" s="114"/>
      <c r="P724" s="114"/>
      <c r="Q724" s="114"/>
      <c r="R724" s="114"/>
      <c r="S724" s="114"/>
      <c r="T724" s="114"/>
    </row>
    <row r="725">
      <c r="O725" s="114"/>
      <c r="P725" s="114"/>
      <c r="Q725" s="114"/>
      <c r="R725" s="114"/>
      <c r="S725" s="114"/>
      <c r="T725" s="114"/>
    </row>
    <row r="726">
      <c r="O726" s="114"/>
      <c r="P726" s="114"/>
      <c r="Q726" s="114"/>
      <c r="R726" s="114"/>
      <c r="S726" s="114"/>
      <c r="T726" s="114"/>
    </row>
    <row r="727">
      <c r="O727" s="114"/>
      <c r="P727" s="114"/>
      <c r="Q727" s="114"/>
      <c r="R727" s="114"/>
      <c r="S727" s="114"/>
      <c r="T727" s="114"/>
    </row>
    <row r="728">
      <c r="O728" s="114"/>
      <c r="P728" s="114"/>
      <c r="Q728" s="114"/>
      <c r="R728" s="114"/>
      <c r="S728" s="114"/>
      <c r="T728" s="114"/>
    </row>
    <row r="729">
      <c r="O729" s="114"/>
      <c r="P729" s="114"/>
      <c r="Q729" s="114"/>
      <c r="R729" s="114"/>
      <c r="S729" s="114"/>
      <c r="T729" s="114"/>
    </row>
    <row r="730">
      <c r="O730" s="114"/>
      <c r="P730" s="114"/>
      <c r="Q730" s="114"/>
      <c r="R730" s="114"/>
      <c r="S730" s="114"/>
      <c r="T730" s="114"/>
    </row>
    <row r="731">
      <c r="O731" s="114"/>
      <c r="P731" s="114"/>
      <c r="Q731" s="114"/>
      <c r="R731" s="114"/>
      <c r="S731" s="114"/>
      <c r="T731" s="114"/>
    </row>
    <row r="732">
      <c r="O732" s="114"/>
      <c r="P732" s="114"/>
      <c r="Q732" s="114"/>
      <c r="R732" s="114"/>
      <c r="S732" s="114"/>
      <c r="T732" s="114"/>
    </row>
    <row r="733">
      <c r="O733" s="114"/>
      <c r="P733" s="114"/>
      <c r="Q733" s="114"/>
      <c r="R733" s="114"/>
      <c r="S733" s="114"/>
      <c r="T733" s="114"/>
    </row>
    <row r="734">
      <c r="O734" s="114"/>
      <c r="P734" s="114"/>
      <c r="Q734" s="114"/>
      <c r="R734" s="114"/>
      <c r="S734" s="114"/>
      <c r="T734" s="114"/>
    </row>
    <row r="735">
      <c r="O735" s="114"/>
      <c r="P735" s="114"/>
      <c r="Q735" s="114"/>
      <c r="R735" s="114"/>
      <c r="S735" s="114"/>
      <c r="T735" s="114"/>
    </row>
    <row r="736">
      <c r="O736" s="114"/>
      <c r="P736" s="114"/>
      <c r="Q736" s="114"/>
      <c r="R736" s="114"/>
      <c r="S736" s="114"/>
      <c r="T736" s="114"/>
    </row>
    <row r="737">
      <c r="O737" s="114"/>
      <c r="P737" s="114"/>
      <c r="Q737" s="114"/>
      <c r="R737" s="114"/>
      <c r="S737" s="114"/>
      <c r="T737" s="114"/>
    </row>
    <row r="738">
      <c r="O738" s="114"/>
      <c r="P738" s="114"/>
      <c r="Q738" s="114"/>
      <c r="R738" s="114"/>
      <c r="S738" s="114"/>
      <c r="T738" s="114"/>
    </row>
    <row r="739">
      <c r="O739" s="114"/>
      <c r="P739" s="114"/>
      <c r="Q739" s="114"/>
      <c r="R739" s="114"/>
      <c r="S739" s="114"/>
      <c r="T739" s="114"/>
    </row>
    <row r="740">
      <c r="O740" s="114"/>
      <c r="P740" s="114"/>
      <c r="Q740" s="114"/>
      <c r="R740" s="114"/>
      <c r="S740" s="114"/>
      <c r="T740" s="114"/>
    </row>
    <row r="741">
      <c r="O741" s="114"/>
      <c r="P741" s="114"/>
      <c r="Q741" s="114"/>
      <c r="R741" s="114"/>
      <c r="S741" s="114"/>
      <c r="T741" s="114"/>
    </row>
    <row r="742">
      <c r="O742" s="114"/>
      <c r="P742" s="114"/>
      <c r="Q742" s="114"/>
      <c r="R742" s="114"/>
      <c r="S742" s="114"/>
      <c r="T742" s="114"/>
    </row>
    <row r="743">
      <c r="O743" s="114"/>
      <c r="P743" s="114"/>
      <c r="Q743" s="114"/>
      <c r="R743" s="114"/>
      <c r="S743" s="114"/>
      <c r="T743" s="114"/>
    </row>
    <row r="744">
      <c r="O744" s="114"/>
      <c r="P744" s="114"/>
      <c r="Q744" s="114"/>
      <c r="R744" s="114"/>
      <c r="S744" s="114"/>
      <c r="T744" s="114"/>
    </row>
    <row r="745">
      <c r="O745" s="114"/>
      <c r="P745" s="114"/>
      <c r="Q745" s="114"/>
      <c r="R745" s="114"/>
      <c r="S745" s="114"/>
      <c r="T745" s="114"/>
    </row>
    <row r="746">
      <c r="O746" s="114"/>
      <c r="P746" s="114"/>
      <c r="Q746" s="114"/>
      <c r="R746" s="114"/>
      <c r="S746" s="114"/>
      <c r="T746" s="114"/>
    </row>
    <row r="747">
      <c r="O747" s="114"/>
      <c r="P747" s="114"/>
      <c r="Q747" s="114"/>
      <c r="R747" s="114"/>
      <c r="S747" s="114"/>
      <c r="T747" s="114"/>
    </row>
    <row r="748">
      <c r="O748" s="114"/>
      <c r="P748" s="114"/>
      <c r="Q748" s="114"/>
      <c r="R748" s="114"/>
      <c r="S748" s="114"/>
      <c r="T748" s="114"/>
    </row>
    <row r="749">
      <c r="O749" s="114"/>
      <c r="P749" s="114"/>
      <c r="Q749" s="114"/>
      <c r="R749" s="114"/>
      <c r="S749" s="114"/>
      <c r="T749" s="114"/>
    </row>
    <row r="750">
      <c r="O750" s="114"/>
      <c r="P750" s="114"/>
      <c r="Q750" s="114"/>
      <c r="R750" s="114"/>
      <c r="S750" s="114"/>
      <c r="T750" s="114"/>
    </row>
    <row r="751">
      <c r="O751" s="114"/>
      <c r="P751" s="114"/>
      <c r="Q751" s="114"/>
      <c r="R751" s="114"/>
      <c r="S751" s="114"/>
      <c r="T751" s="114"/>
    </row>
    <row r="752">
      <c r="O752" s="114"/>
      <c r="P752" s="114"/>
      <c r="Q752" s="114"/>
      <c r="R752" s="114"/>
      <c r="S752" s="114"/>
      <c r="T752" s="114"/>
    </row>
    <row r="753">
      <c r="O753" s="114"/>
      <c r="P753" s="114"/>
      <c r="Q753" s="114"/>
      <c r="R753" s="114"/>
      <c r="S753" s="114"/>
      <c r="T753" s="114"/>
    </row>
    <row r="754">
      <c r="O754" s="114"/>
      <c r="P754" s="114"/>
      <c r="Q754" s="114"/>
      <c r="R754" s="114"/>
      <c r="S754" s="114"/>
      <c r="T754" s="114"/>
    </row>
    <row r="755">
      <c r="O755" s="114"/>
      <c r="P755" s="114"/>
      <c r="Q755" s="114"/>
      <c r="R755" s="114"/>
      <c r="S755" s="114"/>
      <c r="T755" s="114"/>
    </row>
    <row r="756">
      <c r="O756" s="114"/>
      <c r="P756" s="114"/>
      <c r="Q756" s="114"/>
      <c r="R756" s="114"/>
      <c r="S756" s="114"/>
      <c r="T756" s="114"/>
    </row>
    <row r="757">
      <c r="O757" s="114"/>
      <c r="P757" s="114"/>
      <c r="Q757" s="114"/>
      <c r="R757" s="114"/>
      <c r="S757" s="114"/>
      <c r="T757" s="114"/>
    </row>
    <row r="758">
      <c r="O758" s="114"/>
      <c r="P758" s="114"/>
      <c r="Q758" s="114"/>
      <c r="R758" s="114"/>
      <c r="S758" s="114"/>
      <c r="T758" s="114"/>
    </row>
    <row r="759">
      <c r="O759" s="114"/>
      <c r="P759" s="114"/>
      <c r="Q759" s="114"/>
      <c r="R759" s="114"/>
      <c r="S759" s="114"/>
      <c r="T759" s="114"/>
    </row>
    <row r="760">
      <c r="O760" s="114"/>
      <c r="P760" s="114"/>
      <c r="Q760" s="114"/>
      <c r="R760" s="114"/>
      <c r="S760" s="114"/>
      <c r="T760" s="114"/>
    </row>
    <row r="761">
      <c r="O761" s="114"/>
      <c r="P761" s="114"/>
      <c r="Q761" s="114"/>
      <c r="R761" s="114"/>
      <c r="S761" s="114"/>
      <c r="T761" s="114"/>
    </row>
    <row r="762">
      <c r="O762" s="114"/>
      <c r="P762" s="114"/>
      <c r="Q762" s="114"/>
      <c r="R762" s="114"/>
      <c r="S762" s="114"/>
      <c r="T762" s="114"/>
    </row>
    <row r="763">
      <c r="O763" s="114"/>
      <c r="P763" s="114"/>
      <c r="Q763" s="114"/>
      <c r="R763" s="114"/>
      <c r="S763" s="114"/>
      <c r="T763" s="114"/>
    </row>
    <row r="764">
      <c r="O764" s="114"/>
      <c r="P764" s="114"/>
      <c r="Q764" s="114"/>
      <c r="R764" s="114"/>
      <c r="S764" s="114"/>
      <c r="T764" s="114"/>
    </row>
    <row r="765">
      <c r="O765" s="114"/>
      <c r="P765" s="114"/>
      <c r="Q765" s="114"/>
      <c r="R765" s="114"/>
      <c r="S765" s="114"/>
      <c r="T765" s="114"/>
    </row>
    <row r="766">
      <c r="O766" s="114"/>
      <c r="P766" s="114"/>
      <c r="Q766" s="114"/>
      <c r="R766" s="114"/>
      <c r="S766" s="114"/>
      <c r="T766" s="114"/>
    </row>
    <row r="767">
      <c r="O767" s="114"/>
      <c r="P767" s="114"/>
      <c r="Q767" s="114"/>
      <c r="R767" s="114"/>
      <c r="S767" s="114"/>
      <c r="T767" s="114"/>
    </row>
    <row r="768">
      <c r="O768" s="114"/>
      <c r="P768" s="114"/>
      <c r="Q768" s="114"/>
      <c r="R768" s="114"/>
      <c r="S768" s="114"/>
      <c r="T768" s="114"/>
    </row>
    <row r="769">
      <c r="O769" s="114"/>
      <c r="P769" s="114"/>
      <c r="Q769" s="114"/>
      <c r="R769" s="114"/>
      <c r="S769" s="114"/>
      <c r="T769" s="114"/>
    </row>
    <row r="770">
      <c r="O770" s="114"/>
      <c r="P770" s="114"/>
      <c r="Q770" s="114"/>
      <c r="R770" s="114"/>
      <c r="S770" s="114"/>
      <c r="T770" s="114"/>
    </row>
    <row r="771">
      <c r="O771" s="114"/>
      <c r="P771" s="114"/>
      <c r="Q771" s="114"/>
      <c r="R771" s="114"/>
      <c r="S771" s="114"/>
      <c r="T771" s="114"/>
    </row>
    <row r="772">
      <c r="O772" s="114"/>
      <c r="P772" s="114"/>
      <c r="Q772" s="114"/>
      <c r="R772" s="114"/>
      <c r="S772" s="114"/>
      <c r="T772" s="114"/>
    </row>
    <row r="773">
      <c r="O773" s="114"/>
      <c r="P773" s="114"/>
      <c r="Q773" s="114"/>
      <c r="R773" s="114"/>
      <c r="S773" s="114"/>
      <c r="T773" s="114"/>
    </row>
    <row r="774">
      <c r="O774" s="114"/>
      <c r="P774" s="114"/>
      <c r="Q774" s="114"/>
      <c r="R774" s="114"/>
      <c r="S774" s="114"/>
      <c r="T774" s="114"/>
    </row>
    <row r="775">
      <c r="O775" s="114"/>
      <c r="P775" s="114"/>
      <c r="Q775" s="114"/>
      <c r="R775" s="114"/>
      <c r="S775" s="114"/>
      <c r="T775" s="114"/>
    </row>
    <row r="776">
      <c r="O776" s="114"/>
      <c r="P776" s="114"/>
      <c r="Q776" s="114"/>
      <c r="R776" s="114"/>
      <c r="S776" s="114"/>
      <c r="T776" s="114"/>
    </row>
    <row r="777">
      <c r="O777" s="114"/>
      <c r="P777" s="114"/>
      <c r="Q777" s="114"/>
      <c r="R777" s="114"/>
      <c r="S777" s="114"/>
      <c r="T777" s="114"/>
    </row>
    <row r="778">
      <c r="O778" s="114"/>
      <c r="P778" s="114"/>
      <c r="Q778" s="114"/>
      <c r="R778" s="114"/>
      <c r="S778" s="114"/>
      <c r="T778" s="114"/>
    </row>
    <row r="779">
      <c r="O779" s="114"/>
      <c r="P779" s="114"/>
      <c r="Q779" s="114"/>
      <c r="R779" s="114"/>
      <c r="S779" s="114"/>
      <c r="T779" s="114"/>
    </row>
    <row r="780">
      <c r="O780" s="114"/>
      <c r="P780" s="114"/>
      <c r="Q780" s="114"/>
      <c r="R780" s="114"/>
      <c r="S780" s="114"/>
      <c r="T780" s="114"/>
    </row>
    <row r="781">
      <c r="O781" s="114"/>
      <c r="P781" s="114"/>
      <c r="Q781" s="114"/>
      <c r="R781" s="114"/>
      <c r="S781" s="114"/>
      <c r="T781" s="114"/>
    </row>
    <row r="782">
      <c r="O782" s="114"/>
      <c r="P782" s="114"/>
      <c r="Q782" s="114"/>
      <c r="R782" s="114"/>
      <c r="S782" s="114"/>
      <c r="T782" s="114"/>
    </row>
    <row r="783">
      <c r="O783" s="114"/>
      <c r="P783" s="114"/>
      <c r="Q783" s="114"/>
      <c r="R783" s="114"/>
      <c r="S783" s="114"/>
      <c r="T783" s="114"/>
    </row>
    <row r="784">
      <c r="O784" s="114"/>
      <c r="P784" s="114"/>
      <c r="Q784" s="114"/>
      <c r="R784" s="114"/>
      <c r="S784" s="114"/>
      <c r="T784" s="114"/>
    </row>
    <row r="785">
      <c r="O785" s="114"/>
      <c r="P785" s="114"/>
      <c r="Q785" s="114"/>
      <c r="R785" s="114"/>
      <c r="S785" s="114"/>
      <c r="T785" s="114"/>
    </row>
    <row r="786">
      <c r="O786" s="114"/>
      <c r="P786" s="114"/>
      <c r="Q786" s="114"/>
      <c r="R786" s="114"/>
      <c r="S786" s="114"/>
      <c r="T786" s="114"/>
    </row>
    <row r="787">
      <c r="O787" s="114"/>
      <c r="P787" s="114"/>
      <c r="Q787" s="114"/>
      <c r="R787" s="114"/>
      <c r="S787" s="114"/>
      <c r="T787" s="114"/>
    </row>
    <row r="788">
      <c r="O788" s="114"/>
      <c r="P788" s="114"/>
      <c r="Q788" s="114"/>
      <c r="R788" s="114"/>
      <c r="S788" s="114"/>
      <c r="T788" s="114"/>
    </row>
    <row r="789">
      <c r="O789" s="114"/>
      <c r="P789" s="114"/>
      <c r="Q789" s="114"/>
      <c r="R789" s="114"/>
      <c r="S789" s="114"/>
      <c r="T789" s="114"/>
    </row>
    <row r="790">
      <c r="O790" s="114"/>
      <c r="P790" s="114"/>
      <c r="Q790" s="114"/>
      <c r="R790" s="114"/>
      <c r="S790" s="114"/>
      <c r="T790" s="114"/>
    </row>
    <row r="791">
      <c r="O791" s="114"/>
      <c r="P791" s="114"/>
      <c r="Q791" s="114"/>
      <c r="R791" s="114"/>
      <c r="S791" s="114"/>
      <c r="T791" s="114"/>
    </row>
    <row r="792">
      <c r="O792" s="114"/>
      <c r="P792" s="114"/>
      <c r="Q792" s="114"/>
      <c r="R792" s="114"/>
      <c r="S792" s="114"/>
      <c r="T792" s="114"/>
    </row>
    <row r="793">
      <c r="O793" s="114"/>
      <c r="P793" s="114"/>
      <c r="Q793" s="114"/>
      <c r="R793" s="114"/>
      <c r="S793" s="114"/>
      <c r="T793" s="114"/>
    </row>
    <row r="794">
      <c r="O794" s="114"/>
      <c r="P794" s="114"/>
      <c r="Q794" s="114"/>
      <c r="R794" s="114"/>
      <c r="S794" s="114"/>
      <c r="T794" s="114"/>
    </row>
    <row r="795">
      <c r="O795" s="114"/>
      <c r="P795" s="114"/>
      <c r="Q795" s="114"/>
      <c r="R795" s="114"/>
      <c r="S795" s="114"/>
      <c r="T795" s="114"/>
    </row>
    <row r="796">
      <c r="O796" s="114"/>
      <c r="P796" s="114"/>
      <c r="Q796" s="114"/>
      <c r="R796" s="114"/>
      <c r="S796" s="114"/>
      <c r="T796" s="114"/>
    </row>
    <row r="797">
      <c r="O797" s="114"/>
      <c r="P797" s="114"/>
      <c r="Q797" s="114"/>
      <c r="R797" s="114"/>
      <c r="S797" s="114"/>
      <c r="T797" s="114"/>
    </row>
    <row r="798">
      <c r="O798" s="114"/>
      <c r="P798" s="114"/>
      <c r="Q798" s="114"/>
      <c r="R798" s="114"/>
      <c r="S798" s="114"/>
      <c r="T798" s="114"/>
    </row>
    <row r="799">
      <c r="O799" s="114"/>
      <c r="P799" s="114"/>
      <c r="Q799" s="114"/>
      <c r="R799" s="114"/>
      <c r="S799" s="114"/>
      <c r="T799" s="114"/>
    </row>
    <row r="800">
      <c r="O800" s="114"/>
      <c r="P800" s="114"/>
      <c r="Q800" s="114"/>
      <c r="R800" s="114"/>
      <c r="S800" s="114"/>
      <c r="T800" s="114"/>
    </row>
    <row r="801">
      <c r="O801" s="114"/>
      <c r="P801" s="114"/>
      <c r="Q801" s="114"/>
      <c r="R801" s="114"/>
      <c r="S801" s="114"/>
      <c r="T801" s="114"/>
    </row>
    <row r="802">
      <c r="O802" s="114"/>
      <c r="P802" s="114"/>
      <c r="Q802" s="114"/>
      <c r="R802" s="114"/>
      <c r="S802" s="114"/>
      <c r="T802" s="114"/>
    </row>
    <row r="803">
      <c r="O803" s="114"/>
      <c r="P803" s="114"/>
      <c r="Q803" s="114"/>
      <c r="R803" s="114"/>
      <c r="S803" s="114"/>
      <c r="T803" s="114"/>
    </row>
    <row r="804">
      <c r="O804" s="114"/>
      <c r="P804" s="114"/>
      <c r="Q804" s="114"/>
      <c r="R804" s="114"/>
      <c r="S804" s="114"/>
      <c r="T804" s="114"/>
    </row>
    <row r="805">
      <c r="O805" s="114"/>
      <c r="P805" s="114"/>
      <c r="Q805" s="114"/>
      <c r="R805" s="114"/>
      <c r="S805" s="114"/>
      <c r="T805" s="114"/>
    </row>
    <row r="806">
      <c r="O806" s="114"/>
      <c r="P806" s="114"/>
      <c r="Q806" s="114"/>
      <c r="R806" s="114"/>
      <c r="S806" s="114"/>
      <c r="T806" s="114"/>
    </row>
    <row r="807">
      <c r="O807" s="114"/>
      <c r="P807" s="114"/>
      <c r="Q807" s="114"/>
      <c r="R807" s="114"/>
      <c r="S807" s="114"/>
      <c r="T807" s="114"/>
    </row>
    <row r="808">
      <c r="O808" s="114"/>
      <c r="P808" s="114"/>
      <c r="Q808" s="114"/>
      <c r="R808" s="114"/>
      <c r="S808" s="114"/>
      <c r="T808" s="114"/>
    </row>
    <row r="809">
      <c r="O809" s="114"/>
      <c r="P809" s="114"/>
      <c r="Q809" s="114"/>
      <c r="R809" s="114"/>
      <c r="S809" s="114"/>
      <c r="T809" s="114"/>
    </row>
    <row r="810">
      <c r="O810" s="114"/>
      <c r="P810" s="114"/>
      <c r="Q810" s="114"/>
      <c r="R810" s="114"/>
      <c r="S810" s="114"/>
      <c r="T810" s="114"/>
    </row>
    <row r="811">
      <c r="O811" s="114"/>
      <c r="P811" s="114"/>
      <c r="Q811" s="114"/>
      <c r="R811" s="114"/>
      <c r="S811" s="114"/>
      <c r="T811" s="114"/>
    </row>
    <row r="812">
      <c r="O812" s="114"/>
      <c r="P812" s="114"/>
      <c r="Q812" s="114"/>
      <c r="R812" s="114"/>
      <c r="S812" s="114"/>
      <c r="T812" s="114"/>
    </row>
    <row r="813">
      <c r="O813" s="114"/>
      <c r="P813" s="114"/>
      <c r="Q813" s="114"/>
      <c r="R813" s="114"/>
      <c r="S813" s="114"/>
      <c r="T813" s="114"/>
    </row>
    <row r="814">
      <c r="O814" s="114"/>
      <c r="P814" s="114"/>
      <c r="Q814" s="114"/>
      <c r="R814" s="114"/>
      <c r="S814" s="114"/>
      <c r="T814" s="114"/>
    </row>
    <row r="815">
      <c r="O815" s="114"/>
      <c r="P815" s="114"/>
      <c r="Q815" s="114"/>
      <c r="R815" s="114"/>
      <c r="S815" s="114"/>
      <c r="T815" s="114"/>
    </row>
    <row r="816">
      <c r="O816" s="114"/>
      <c r="P816" s="114"/>
      <c r="Q816" s="114"/>
      <c r="R816" s="114"/>
      <c r="S816" s="114"/>
      <c r="T816" s="114"/>
    </row>
    <row r="817">
      <c r="O817" s="114"/>
      <c r="P817" s="114"/>
      <c r="Q817" s="114"/>
      <c r="R817" s="114"/>
      <c r="S817" s="114"/>
      <c r="T817" s="114"/>
    </row>
    <row r="818">
      <c r="O818" s="114"/>
      <c r="P818" s="114"/>
      <c r="Q818" s="114"/>
      <c r="R818" s="114"/>
      <c r="S818" s="114"/>
      <c r="T818" s="114"/>
    </row>
    <row r="819">
      <c r="O819" s="114"/>
      <c r="P819" s="114"/>
      <c r="Q819" s="114"/>
      <c r="R819" s="114"/>
      <c r="S819" s="114"/>
      <c r="T819" s="114"/>
    </row>
    <row r="820">
      <c r="O820" s="114"/>
      <c r="P820" s="114"/>
      <c r="Q820" s="114"/>
      <c r="R820" s="114"/>
      <c r="S820" s="114"/>
      <c r="T820" s="114"/>
    </row>
    <row r="821">
      <c r="O821" s="114"/>
      <c r="P821" s="114"/>
      <c r="Q821" s="114"/>
      <c r="R821" s="114"/>
      <c r="S821" s="114"/>
      <c r="T821" s="114"/>
    </row>
    <row r="822">
      <c r="O822" s="114"/>
      <c r="P822" s="114"/>
      <c r="Q822" s="114"/>
      <c r="R822" s="114"/>
      <c r="S822" s="114"/>
      <c r="T822" s="114"/>
    </row>
    <row r="823">
      <c r="O823" s="114"/>
      <c r="P823" s="114"/>
      <c r="Q823" s="114"/>
      <c r="R823" s="114"/>
      <c r="S823" s="114"/>
      <c r="T823" s="114"/>
    </row>
    <row r="824">
      <c r="O824" s="114"/>
      <c r="P824" s="114"/>
      <c r="Q824" s="114"/>
      <c r="R824" s="114"/>
      <c r="S824" s="114"/>
      <c r="T824" s="114"/>
    </row>
    <row r="825">
      <c r="O825" s="114"/>
      <c r="P825" s="114"/>
      <c r="Q825" s="114"/>
      <c r="R825" s="114"/>
      <c r="S825" s="114"/>
      <c r="T825" s="114"/>
    </row>
    <row r="826">
      <c r="O826" s="114"/>
      <c r="P826" s="114"/>
      <c r="Q826" s="114"/>
      <c r="R826" s="114"/>
      <c r="S826" s="114"/>
      <c r="T826" s="114"/>
    </row>
    <row r="827">
      <c r="O827" s="114"/>
      <c r="P827" s="114"/>
      <c r="Q827" s="114"/>
      <c r="R827" s="114"/>
      <c r="S827" s="114"/>
      <c r="T827" s="114"/>
    </row>
    <row r="828">
      <c r="O828" s="114"/>
      <c r="P828" s="114"/>
      <c r="Q828" s="114"/>
      <c r="R828" s="114"/>
      <c r="S828" s="114"/>
      <c r="T828" s="114"/>
    </row>
    <row r="829">
      <c r="O829" s="114"/>
      <c r="P829" s="114"/>
      <c r="Q829" s="114"/>
      <c r="R829" s="114"/>
      <c r="S829" s="114"/>
      <c r="T829" s="114"/>
    </row>
    <row r="830">
      <c r="O830" s="114"/>
      <c r="P830" s="114"/>
      <c r="Q830" s="114"/>
      <c r="R830" s="114"/>
      <c r="S830" s="114"/>
      <c r="T830" s="114"/>
    </row>
    <row r="831">
      <c r="O831" s="114"/>
      <c r="P831" s="114"/>
      <c r="Q831" s="114"/>
      <c r="R831" s="114"/>
      <c r="S831" s="114"/>
      <c r="T831" s="114"/>
    </row>
    <row r="832">
      <c r="O832" s="114"/>
      <c r="P832" s="114"/>
      <c r="Q832" s="114"/>
      <c r="R832" s="114"/>
      <c r="S832" s="114"/>
      <c r="T832" s="114"/>
    </row>
    <row r="833">
      <c r="O833" s="114"/>
      <c r="P833" s="114"/>
      <c r="Q833" s="114"/>
      <c r="R833" s="114"/>
      <c r="S833" s="114"/>
      <c r="T833" s="114"/>
    </row>
    <row r="834">
      <c r="O834" s="114"/>
      <c r="P834" s="114"/>
      <c r="Q834" s="114"/>
      <c r="R834" s="114"/>
      <c r="S834" s="114"/>
      <c r="T834" s="114"/>
    </row>
    <row r="835">
      <c r="O835" s="114"/>
      <c r="P835" s="114"/>
      <c r="Q835" s="114"/>
      <c r="R835" s="114"/>
      <c r="S835" s="114"/>
      <c r="T835" s="114"/>
    </row>
    <row r="836">
      <c r="O836" s="114"/>
      <c r="P836" s="114"/>
      <c r="Q836" s="114"/>
      <c r="R836" s="114"/>
      <c r="S836" s="114"/>
      <c r="T836" s="114"/>
    </row>
    <row r="837">
      <c r="O837" s="114"/>
      <c r="P837" s="114"/>
      <c r="Q837" s="114"/>
      <c r="R837" s="114"/>
      <c r="S837" s="114"/>
      <c r="T837" s="114"/>
    </row>
    <row r="838">
      <c r="O838" s="114"/>
      <c r="P838" s="114"/>
      <c r="Q838" s="114"/>
      <c r="R838" s="114"/>
      <c r="S838" s="114"/>
      <c r="T838" s="114"/>
    </row>
    <row r="839">
      <c r="O839" s="114"/>
      <c r="P839" s="114"/>
      <c r="Q839" s="114"/>
      <c r="R839" s="114"/>
      <c r="S839" s="114"/>
      <c r="T839" s="114"/>
    </row>
    <row r="840">
      <c r="O840" s="114"/>
      <c r="P840" s="114"/>
      <c r="Q840" s="114"/>
      <c r="R840" s="114"/>
      <c r="S840" s="114"/>
      <c r="T840" s="114"/>
    </row>
    <row r="841">
      <c r="O841" s="114"/>
      <c r="P841" s="114"/>
      <c r="Q841" s="114"/>
      <c r="R841" s="114"/>
      <c r="S841" s="114"/>
      <c r="T841" s="114"/>
    </row>
    <row r="842">
      <c r="O842" s="114"/>
      <c r="P842" s="114"/>
      <c r="Q842" s="114"/>
      <c r="R842" s="114"/>
      <c r="S842" s="114"/>
      <c r="T842" s="114"/>
    </row>
    <row r="843">
      <c r="O843" s="114"/>
      <c r="P843" s="114"/>
      <c r="Q843" s="114"/>
      <c r="R843" s="114"/>
      <c r="S843" s="114"/>
      <c r="T843" s="114"/>
    </row>
    <row r="844">
      <c r="O844" s="114"/>
      <c r="P844" s="114"/>
      <c r="Q844" s="114"/>
      <c r="R844" s="114"/>
      <c r="S844" s="114"/>
      <c r="T844" s="114"/>
    </row>
    <row r="845">
      <c r="O845" s="114"/>
      <c r="P845" s="114"/>
      <c r="Q845" s="114"/>
      <c r="R845" s="114"/>
      <c r="S845" s="114"/>
      <c r="T845" s="114"/>
    </row>
    <row r="846">
      <c r="O846" s="114"/>
      <c r="P846" s="114"/>
      <c r="Q846" s="114"/>
      <c r="R846" s="114"/>
      <c r="S846" s="114"/>
      <c r="T846" s="114"/>
    </row>
    <row r="847">
      <c r="O847" s="114"/>
      <c r="P847" s="114"/>
      <c r="Q847" s="114"/>
      <c r="R847" s="114"/>
      <c r="S847" s="114"/>
      <c r="T847" s="114"/>
    </row>
    <row r="848">
      <c r="O848" s="114"/>
      <c r="P848" s="114"/>
      <c r="Q848" s="114"/>
      <c r="R848" s="114"/>
      <c r="S848" s="114"/>
      <c r="T848" s="114"/>
    </row>
    <row r="849">
      <c r="O849" s="114"/>
      <c r="P849" s="114"/>
      <c r="Q849" s="114"/>
      <c r="R849" s="114"/>
      <c r="S849" s="114"/>
      <c r="T849" s="114"/>
    </row>
    <row r="850">
      <c r="O850" s="114"/>
      <c r="P850" s="114"/>
      <c r="Q850" s="114"/>
      <c r="R850" s="114"/>
      <c r="S850" s="114"/>
      <c r="T850" s="114"/>
    </row>
    <row r="851">
      <c r="O851" s="114"/>
      <c r="P851" s="114"/>
      <c r="Q851" s="114"/>
      <c r="R851" s="114"/>
      <c r="S851" s="114"/>
      <c r="T851" s="114"/>
    </row>
    <row r="852">
      <c r="O852" s="114"/>
      <c r="P852" s="114"/>
      <c r="Q852" s="114"/>
      <c r="R852" s="114"/>
      <c r="S852" s="114"/>
      <c r="T852" s="114"/>
    </row>
    <row r="853">
      <c r="O853" s="114"/>
      <c r="P853" s="114"/>
      <c r="Q853" s="114"/>
      <c r="R853" s="114"/>
      <c r="S853" s="114"/>
      <c r="T853" s="114"/>
    </row>
    <row r="854">
      <c r="O854" s="114"/>
      <c r="P854" s="114"/>
      <c r="Q854" s="114"/>
      <c r="R854" s="114"/>
      <c r="S854" s="114"/>
      <c r="T854" s="114"/>
    </row>
    <row r="855">
      <c r="O855" s="114"/>
      <c r="P855" s="114"/>
      <c r="Q855" s="114"/>
      <c r="R855" s="114"/>
      <c r="S855" s="114"/>
      <c r="T855" s="114"/>
    </row>
    <row r="856">
      <c r="O856" s="114"/>
      <c r="P856" s="114"/>
      <c r="Q856" s="114"/>
      <c r="R856" s="114"/>
      <c r="S856" s="114"/>
      <c r="T856" s="114"/>
    </row>
    <row r="857">
      <c r="O857" s="114"/>
      <c r="P857" s="114"/>
      <c r="Q857" s="114"/>
      <c r="R857" s="114"/>
      <c r="S857" s="114"/>
      <c r="T857" s="114"/>
    </row>
    <row r="858">
      <c r="O858" s="114"/>
      <c r="P858" s="114"/>
      <c r="Q858" s="114"/>
      <c r="R858" s="114"/>
      <c r="S858" s="114"/>
      <c r="T858" s="114"/>
    </row>
    <row r="859">
      <c r="O859" s="114"/>
      <c r="P859" s="114"/>
      <c r="Q859" s="114"/>
      <c r="R859" s="114"/>
      <c r="S859" s="114"/>
      <c r="T859" s="114"/>
    </row>
    <row r="860">
      <c r="O860" s="114"/>
      <c r="P860" s="114"/>
      <c r="Q860" s="114"/>
      <c r="R860" s="114"/>
      <c r="S860" s="114"/>
      <c r="T860" s="114"/>
    </row>
    <row r="861">
      <c r="O861" s="114"/>
      <c r="P861" s="114"/>
      <c r="Q861" s="114"/>
      <c r="R861" s="114"/>
      <c r="S861" s="114"/>
      <c r="T861" s="114"/>
    </row>
    <row r="862">
      <c r="O862" s="114"/>
      <c r="P862" s="114"/>
      <c r="Q862" s="114"/>
      <c r="R862" s="114"/>
      <c r="S862" s="114"/>
      <c r="T862" s="114"/>
    </row>
    <row r="863">
      <c r="O863" s="114"/>
      <c r="P863" s="114"/>
      <c r="Q863" s="114"/>
      <c r="R863" s="114"/>
      <c r="S863" s="114"/>
      <c r="T863" s="114"/>
    </row>
    <row r="864">
      <c r="O864" s="114"/>
      <c r="P864" s="114"/>
      <c r="Q864" s="114"/>
      <c r="R864" s="114"/>
      <c r="S864" s="114"/>
      <c r="T864" s="114"/>
    </row>
    <row r="865">
      <c r="O865" s="114"/>
      <c r="P865" s="114"/>
      <c r="Q865" s="114"/>
      <c r="R865" s="114"/>
      <c r="S865" s="114"/>
      <c r="T865" s="114"/>
    </row>
    <row r="866">
      <c r="O866" s="114"/>
      <c r="P866" s="114"/>
      <c r="Q866" s="114"/>
      <c r="R866" s="114"/>
      <c r="S866" s="114"/>
      <c r="T866" s="114"/>
    </row>
    <row r="867">
      <c r="O867" s="114"/>
      <c r="P867" s="114"/>
      <c r="Q867" s="114"/>
      <c r="R867" s="114"/>
      <c r="S867" s="114"/>
      <c r="T867" s="114"/>
    </row>
    <row r="868">
      <c r="O868" s="114"/>
      <c r="P868" s="114"/>
      <c r="Q868" s="114"/>
      <c r="R868" s="114"/>
      <c r="S868" s="114"/>
      <c r="T868" s="114"/>
    </row>
    <row r="869">
      <c r="O869" s="114"/>
      <c r="P869" s="114"/>
      <c r="Q869" s="114"/>
      <c r="R869" s="114"/>
      <c r="S869" s="114"/>
      <c r="T869" s="114"/>
    </row>
    <row r="870">
      <c r="O870" s="114"/>
      <c r="P870" s="114"/>
      <c r="Q870" s="114"/>
      <c r="R870" s="114"/>
      <c r="S870" s="114"/>
      <c r="T870" s="114"/>
    </row>
    <row r="871">
      <c r="O871" s="114"/>
      <c r="P871" s="114"/>
      <c r="Q871" s="114"/>
      <c r="R871" s="114"/>
      <c r="S871" s="114"/>
      <c r="T871" s="114"/>
    </row>
    <row r="872">
      <c r="O872" s="114"/>
      <c r="P872" s="114"/>
      <c r="Q872" s="114"/>
      <c r="R872" s="114"/>
      <c r="S872" s="114"/>
      <c r="T872" s="114"/>
    </row>
    <row r="873">
      <c r="O873" s="114"/>
      <c r="P873" s="114"/>
      <c r="Q873" s="114"/>
      <c r="R873" s="114"/>
      <c r="S873" s="114"/>
      <c r="T873" s="114"/>
    </row>
    <row r="874">
      <c r="O874" s="114"/>
      <c r="P874" s="114"/>
      <c r="Q874" s="114"/>
      <c r="R874" s="114"/>
      <c r="S874" s="114"/>
      <c r="T874" s="114"/>
    </row>
    <row r="875">
      <c r="O875" s="114"/>
      <c r="P875" s="114"/>
      <c r="Q875" s="114"/>
      <c r="R875" s="114"/>
      <c r="S875" s="114"/>
      <c r="T875" s="114"/>
    </row>
    <row r="876">
      <c r="O876" s="114"/>
      <c r="P876" s="114"/>
      <c r="Q876" s="114"/>
      <c r="R876" s="114"/>
      <c r="S876" s="114"/>
      <c r="T876" s="114"/>
    </row>
    <row r="877">
      <c r="O877" s="114"/>
      <c r="P877" s="114"/>
      <c r="Q877" s="114"/>
      <c r="R877" s="114"/>
      <c r="S877" s="114"/>
      <c r="T877" s="114"/>
    </row>
    <row r="878">
      <c r="O878" s="114"/>
      <c r="P878" s="114"/>
      <c r="Q878" s="114"/>
      <c r="R878" s="114"/>
      <c r="S878" s="114"/>
      <c r="T878" s="114"/>
    </row>
    <row r="879">
      <c r="O879" s="114"/>
      <c r="P879" s="114"/>
      <c r="Q879" s="114"/>
      <c r="R879" s="114"/>
      <c r="S879" s="114"/>
      <c r="T879" s="114"/>
    </row>
    <row r="880">
      <c r="O880" s="114"/>
      <c r="P880" s="114"/>
      <c r="Q880" s="114"/>
      <c r="R880" s="114"/>
      <c r="S880" s="114"/>
      <c r="T880" s="114"/>
    </row>
    <row r="881">
      <c r="O881" s="114"/>
      <c r="P881" s="114"/>
      <c r="Q881" s="114"/>
      <c r="R881" s="114"/>
      <c r="S881" s="114"/>
      <c r="T881" s="114"/>
    </row>
    <row r="882">
      <c r="O882" s="114"/>
      <c r="P882" s="114"/>
      <c r="Q882" s="114"/>
      <c r="R882" s="114"/>
      <c r="S882" s="114"/>
      <c r="T882" s="114"/>
    </row>
    <row r="883">
      <c r="O883" s="114"/>
      <c r="P883" s="114"/>
      <c r="Q883" s="114"/>
      <c r="R883" s="114"/>
      <c r="S883" s="114"/>
      <c r="T883" s="114"/>
    </row>
    <row r="884">
      <c r="O884" s="114"/>
      <c r="P884" s="114"/>
      <c r="Q884" s="114"/>
      <c r="R884" s="114"/>
      <c r="S884" s="114"/>
      <c r="T884" s="114"/>
    </row>
    <row r="885">
      <c r="O885" s="114"/>
      <c r="P885" s="114"/>
      <c r="Q885" s="114"/>
      <c r="R885" s="114"/>
      <c r="S885" s="114"/>
      <c r="T885" s="114"/>
    </row>
    <row r="886">
      <c r="O886" s="114"/>
      <c r="P886" s="114"/>
      <c r="Q886" s="114"/>
      <c r="R886" s="114"/>
      <c r="S886" s="114"/>
      <c r="T886" s="114"/>
    </row>
    <row r="887">
      <c r="O887" s="114"/>
      <c r="P887" s="114"/>
      <c r="Q887" s="114"/>
      <c r="R887" s="114"/>
      <c r="S887" s="114"/>
      <c r="T887" s="114"/>
    </row>
    <row r="888">
      <c r="O888" s="114"/>
      <c r="P888" s="114"/>
      <c r="Q888" s="114"/>
      <c r="R888" s="114"/>
      <c r="S888" s="114"/>
      <c r="T888" s="114"/>
    </row>
    <row r="889">
      <c r="O889" s="114"/>
      <c r="P889" s="114"/>
      <c r="Q889" s="114"/>
      <c r="R889" s="114"/>
      <c r="S889" s="114"/>
      <c r="T889" s="114"/>
    </row>
    <row r="890">
      <c r="O890" s="114"/>
      <c r="P890" s="114"/>
      <c r="Q890" s="114"/>
      <c r="R890" s="114"/>
      <c r="S890" s="114"/>
      <c r="T890" s="114"/>
    </row>
    <row r="891">
      <c r="O891" s="114"/>
      <c r="P891" s="114"/>
      <c r="Q891" s="114"/>
      <c r="R891" s="114"/>
      <c r="S891" s="114"/>
      <c r="T891" s="114"/>
    </row>
    <row r="892">
      <c r="O892" s="114"/>
      <c r="P892" s="114"/>
      <c r="Q892" s="114"/>
      <c r="R892" s="114"/>
      <c r="S892" s="114"/>
      <c r="T892" s="114"/>
    </row>
    <row r="893">
      <c r="O893" s="114"/>
      <c r="P893" s="114"/>
      <c r="Q893" s="114"/>
      <c r="R893" s="114"/>
      <c r="S893" s="114"/>
      <c r="T893" s="114"/>
    </row>
    <row r="894">
      <c r="O894" s="114"/>
      <c r="P894" s="114"/>
      <c r="Q894" s="114"/>
      <c r="R894" s="114"/>
      <c r="S894" s="114"/>
      <c r="T894" s="114"/>
    </row>
    <row r="895">
      <c r="O895" s="114"/>
      <c r="P895" s="114"/>
      <c r="Q895" s="114"/>
      <c r="R895" s="114"/>
      <c r="S895" s="114"/>
      <c r="T895" s="114"/>
    </row>
    <row r="896">
      <c r="O896" s="114"/>
      <c r="P896" s="114"/>
      <c r="Q896" s="114"/>
      <c r="R896" s="114"/>
      <c r="S896" s="114"/>
      <c r="T896" s="114"/>
    </row>
    <row r="897">
      <c r="O897" s="114"/>
      <c r="P897" s="114"/>
      <c r="Q897" s="114"/>
      <c r="R897" s="114"/>
      <c r="S897" s="114"/>
      <c r="T897" s="114"/>
    </row>
    <row r="898">
      <c r="O898" s="114"/>
      <c r="P898" s="114"/>
      <c r="Q898" s="114"/>
      <c r="R898" s="114"/>
      <c r="S898" s="114"/>
      <c r="T898" s="114"/>
    </row>
    <row r="899">
      <c r="O899" s="114"/>
      <c r="P899" s="114"/>
      <c r="Q899" s="114"/>
      <c r="R899" s="114"/>
      <c r="S899" s="114"/>
      <c r="T899" s="114"/>
    </row>
    <row r="900">
      <c r="O900" s="114"/>
      <c r="P900" s="114"/>
      <c r="Q900" s="114"/>
      <c r="R900" s="114"/>
      <c r="S900" s="114"/>
      <c r="T900" s="114"/>
    </row>
    <row r="901">
      <c r="O901" s="114"/>
      <c r="P901" s="114"/>
      <c r="Q901" s="114"/>
      <c r="R901" s="114"/>
      <c r="S901" s="114"/>
      <c r="T901" s="114"/>
    </row>
    <row r="902">
      <c r="O902" s="114"/>
      <c r="P902" s="114"/>
      <c r="Q902" s="114"/>
      <c r="R902" s="114"/>
      <c r="S902" s="114"/>
      <c r="T902" s="114"/>
    </row>
    <row r="903">
      <c r="O903" s="114"/>
      <c r="P903" s="114"/>
      <c r="Q903" s="114"/>
      <c r="R903" s="114"/>
      <c r="S903" s="114"/>
      <c r="T903" s="114"/>
    </row>
    <row r="904">
      <c r="O904" s="114"/>
      <c r="P904" s="114"/>
      <c r="Q904" s="114"/>
      <c r="R904" s="114"/>
      <c r="S904" s="114"/>
      <c r="T904" s="114"/>
    </row>
    <row r="905">
      <c r="O905" s="114"/>
      <c r="P905" s="114"/>
      <c r="Q905" s="114"/>
      <c r="R905" s="114"/>
      <c r="S905" s="114"/>
      <c r="T905" s="114"/>
    </row>
    <row r="906">
      <c r="O906" s="114"/>
      <c r="P906" s="114"/>
      <c r="Q906" s="114"/>
      <c r="R906" s="114"/>
      <c r="S906" s="114"/>
      <c r="T906" s="114"/>
    </row>
    <row r="907">
      <c r="O907" s="114"/>
      <c r="P907" s="114"/>
      <c r="Q907" s="114"/>
      <c r="R907" s="114"/>
      <c r="S907" s="114"/>
      <c r="T907" s="114"/>
    </row>
    <row r="908">
      <c r="O908" s="114"/>
      <c r="P908" s="114"/>
      <c r="Q908" s="114"/>
      <c r="R908" s="114"/>
      <c r="S908" s="114"/>
      <c r="T908" s="114"/>
    </row>
    <row r="909">
      <c r="O909" s="114"/>
      <c r="P909" s="114"/>
      <c r="Q909" s="114"/>
      <c r="R909" s="114"/>
      <c r="S909" s="114"/>
      <c r="T909" s="114"/>
    </row>
    <row r="910">
      <c r="O910" s="114"/>
      <c r="P910" s="114"/>
      <c r="Q910" s="114"/>
      <c r="R910" s="114"/>
      <c r="S910" s="114"/>
      <c r="T910" s="114"/>
    </row>
    <row r="911">
      <c r="O911" s="114"/>
      <c r="P911" s="114"/>
      <c r="Q911" s="114"/>
      <c r="R911" s="114"/>
      <c r="S911" s="114"/>
      <c r="T911" s="114"/>
    </row>
    <row r="912">
      <c r="O912" s="114"/>
      <c r="P912" s="114"/>
      <c r="Q912" s="114"/>
      <c r="R912" s="114"/>
      <c r="S912" s="114"/>
      <c r="T912" s="114"/>
    </row>
    <row r="913">
      <c r="O913" s="114"/>
      <c r="P913" s="114"/>
      <c r="Q913" s="114"/>
      <c r="R913" s="114"/>
      <c r="S913" s="114"/>
      <c r="T913" s="114"/>
    </row>
    <row r="914">
      <c r="O914" s="114"/>
      <c r="P914" s="114"/>
      <c r="Q914" s="114"/>
      <c r="R914" s="114"/>
      <c r="S914" s="114"/>
      <c r="T914" s="114"/>
    </row>
    <row r="915">
      <c r="O915" s="114"/>
      <c r="P915" s="114"/>
      <c r="Q915" s="114"/>
      <c r="R915" s="114"/>
      <c r="S915" s="114"/>
      <c r="T915" s="114"/>
    </row>
    <row r="916">
      <c r="O916" s="114"/>
      <c r="P916" s="114"/>
      <c r="Q916" s="114"/>
      <c r="R916" s="114"/>
      <c r="S916" s="114"/>
      <c r="T916" s="114"/>
    </row>
    <row r="917">
      <c r="O917" s="114"/>
      <c r="P917" s="114"/>
      <c r="Q917" s="114"/>
      <c r="R917" s="114"/>
      <c r="S917" s="114"/>
      <c r="T917" s="114"/>
    </row>
    <row r="918">
      <c r="O918" s="114"/>
      <c r="P918" s="114"/>
      <c r="Q918" s="114"/>
      <c r="R918" s="114"/>
      <c r="S918" s="114"/>
      <c r="T918" s="114"/>
    </row>
    <row r="919">
      <c r="O919" s="114"/>
      <c r="P919" s="114"/>
      <c r="Q919" s="114"/>
      <c r="R919" s="114"/>
      <c r="S919" s="114"/>
      <c r="T919" s="114"/>
    </row>
    <row r="920">
      <c r="O920" s="114"/>
      <c r="P920" s="114"/>
      <c r="Q920" s="114"/>
      <c r="R920" s="114"/>
      <c r="S920" s="114"/>
      <c r="T920" s="114"/>
    </row>
    <row r="921">
      <c r="O921" s="114"/>
      <c r="P921" s="114"/>
      <c r="Q921" s="114"/>
      <c r="R921" s="114"/>
      <c r="S921" s="114"/>
      <c r="T921" s="114"/>
    </row>
    <row r="922">
      <c r="O922" s="114"/>
      <c r="P922" s="114"/>
      <c r="Q922" s="114"/>
      <c r="R922" s="114"/>
      <c r="S922" s="114"/>
      <c r="T922" s="114"/>
    </row>
    <row r="923">
      <c r="O923" s="114"/>
      <c r="P923" s="114"/>
      <c r="Q923" s="114"/>
      <c r="R923" s="114"/>
      <c r="S923" s="114"/>
      <c r="T923" s="114"/>
    </row>
    <row r="924">
      <c r="O924" s="114"/>
      <c r="P924" s="114"/>
      <c r="Q924" s="114"/>
      <c r="R924" s="114"/>
      <c r="S924" s="114"/>
      <c r="T924" s="114"/>
    </row>
    <row r="925">
      <c r="O925" s="114"/>
      <c r="P925" s="114"/>
      <c r="Q925" s="114"/>
      <c r="R925" s="114"/>
      <c r="S925" s="114"/>
      <c r="T925" s="114"/>
    </row>
    <row r="926">
      <c r="O926" s="114"/>
      <c r="P926" s="114"/>
      <c r="Q926" s="114"/>
      <c r="R926" s="114"/>
      <c r="S926" s="114"/>
      <c r="T926" s="114"/>
    </row>
    <row r="927">
      <c r="O927" s="114"/>
      <c r="P927" s="114"/>
      <c r="Q927" s="114"/>
      <c r="R927" s="114"/>
      <c r="S927" s="114"/>
      <c r="T927" s="114"/>
    </row>
    <row r="928">
      <c r="O928" s="114"/>
      <c r="P928" s="114"/>
      <c r="Q928" s="114"/>
      <c r="R928" s="114"/>
      <c r="S928" s="114"/>
      <c r="T928" s="114"/>
    </row>
    <row r="929">
      <c r="O929" s="114"/>
      <c r="P929" s="114"/>
      <c r="Q929" s="114"/>
      <c r="R929" s="114"/>
      <c r="S929" s="114"/>
      <c r="T929" s="114"/>
    </row>
    <row r="930">
      <c r="O930" s="114"/>
      <c r="P930" s="114"/>
      <c r="Q930" s="114"/>
      <c r="R930" s="114"/>
      <c r="S930" s="114"/>
      <c r="T930" s="114"/>
    </row>
    <row r="931">
      <c r="O931" s="114"/>
      <c r="P931" s="114"/>
      <c r="Q931" s="114"/>
      <c r="R931" s="114"/>
      <c r="S931" s="114"/>
      <c r="T931" s="114"/>
    </row>
    <row r="932">
      <c r="O932" s="114"/>
      <c r="P932" s="114"/>
      <c r="Q932" s="114"/>
      <c r="R932" s="114"/>
      <c r="S932" s="114"/>
      <c r="T932" s="114"/>
    </row>
    <row r="933">
      <c r="O933" s="114"/>
      <c r="P933" s="114"/>
      <c r="Q933" s="114"/>
      <c r="R933" s="114"/>
      <c r="S933" s="114"/>
      <c r="T933" s="114"/>
    </row>
    <row r="934">
      <c r="O934" s="114"/>
      <c r="P934" s="114"/>
      <c r="Q934" s="114"/>
      <c r="R934" s="114"/>
      <c r="S934" s="114"/>
      <c r="T934" s="114"/>
    </row>
    <row r="935">
      <c r="O935" s="114"/>
      <c r="P935" s="114"/>
      <c r="Q935" s="114"/>
      <c r="R935" s="114"/>
      <c r="S935" s="114"/>
      <c r="T935" s="114"/>
    </row>
    <row r="936">
      <c r="O936" s="114"/>
      <c r="P936" s="114"/>
      <c r="Q936" s="114"/>
      <c r="R936" s="114"/>
      <c r="S936" s="114"/>
      <c r="T936" s="114"/>
    </row>
    <row r="937">
      <c r="O937" s="114"/>
      <c r="P937" s="114"/>
      <c r="Q937" s="114"/>
      <c r="R937" s="114"/>
      <c r="S937" s="114"/>
      <c r="T937" s="114"/>
    </row>
    <row r="938">
      <c r="O938" s="114"/>
      <c r="P938" s="114"/>
      <c r="Q938" s="114"/>
      <c r="R938" s="114"/>
      <c r="S938" s="114"/>
      <c r="T938" s="114"/>
    </row>
    <row r="939">
      <c r="O939" s="114"/>
      <c r="P939" s="114"/>
      <c r="Q939" s="114"/>
      <c r="R939" s="114"/>
      <c r="S939" s="114"/>
      <c r="T939" s="114"/>
    </row>
    <row r="940">
      <c r="O940" s="114"/>
      <c r="P940" s="114"/>
      <c r="Q940" s="114"/>
      <c r="R940" s="114"/>
      <c r="S940" s="114"/>
      <c r="T940" s="114"/>
    </row>
    <row r="941">
      <c r="O941" s="114"/>
      <c r="P941" s="114"/>
      <c r="Q941" s="114"/>
      <c r="R941" s="114"/>
      <c r="S941" s="114"/>
      <c r="T941" s="114"/>
    </row>
    <row r="942">
      <c r="O942" s="114"/>
      <c r="P942" s="114"/>
      <c r="Q942" s="114"/>
      <c r="R942" s="114"/>
      <c r="S942" s="114"/>
      <c r="T942" s="114"/>
    </row>
    <row r="943">
      <c r="O943" s="114"/>
      <c r="P943" s="114"/>
      <c r="Q943" s="114"/>
      <c r="R943" s="114"/>
      <c r="S943" s="114"/>
      <c r="T943" s="114"/>
    </row>
    <row r="944">
      <c r="O944" s="114"/>
      <c r="P944" s="114"/>
      <c r="Q944" s="114"/>
      <c r="R944" s="114"/>
      <c r="S944" s="114"/>
      <c r="T944" s="114"/>
    </row>
    <row r="945">
      <c r="O945" s="114"/>
      <c r="P945" s="114"/>
      <c r="Q945" s="114"/>
      <c r="R945" s="114"/>
      <c r="S945" s="114"/>
      <c r="T945" s="114"/>
    </row>
    <row r="946">
      <c r="O946" s="114"/>
      <c r="P946" s="114"/>
      <c r="Q946" s="114"/>
      <c r="R946" s="114"/>
      <c r="S946" s="114"/>
      <c r="T946" s="114"/>
    </row>
    <row r="947">
      <c r="O947" s="114"/>
      <c r="P947" s="114"/>
      <c r="Q947" s="114"/>
      <c r="R947" s="114"/>
      <c r="S947" s="114"/>
      <c r="T947" s="114"/>
    </row>
    <row r="948">
      <c r="O948" s="114"/>
      <c r="P948" s="114"/>
      <c r="Q948" s="114"/>
      <c r="R948" s="114"/>
      <c r="S948" s="114"/>
      <c r="T948" s="114"/>
    </row>
    <row r="949">
      <c r="O949" s="114"/>
      <c r="P949" s="114"/>
      <c r="Q949" s="114"/>
      <c r="R949" s="114"/>
      <c r="S949" s="114"/>
      <c r="T949" s="114"/>
    </row>
    <row r="950">
      <c r="O950" s="114"/>
      <c r="P950" s="114"/>
      <c r="Q950" s="114"/>
      <c r="R950" s="114"/>
      <c r="S950" s="114"/>
      <c r="T950" s="114"/>
    </row>
    <row r="951">
      <c r="O951" s="114"/>
      <c r="P951" s="114"/>
      <c r="Q951" s="114"/>
      <c r="R951" s="114"/>
      <c r="S951" s="114"/>
      <c r="T951" s="114"/>
    </row>
    <row r="952">
      <c r="O952" s="114"/>
      <c r="P952" s="114"/>
      <c r="Q952" s="114"/>
      <c r="R952" s="114"/>
      <c r="S952" s="114"/>
      <c r="T952" s="114"/>
    </row>
    <row r="953">
      <c r="O953" s="114"/>
      <c r="P953" s="114"/>
      <c r="Q953" s="114"/>
      <c r="R953" s="114"/>
      <c r="S953" s="114"/>
      <c r="T953" s="114"/>
    </row>
    <row r="954">
      <c r="O954" s="114"/>
      <c r="P954" s="114"/>
      <c r="Q954" s="114"/>
      <c r="R954" s="114"/>
      <c r="S954" s="114"/>
      <c r="T954" s="114"/>
    </row>
    <row r="955">
      <c r="O955" s="114"/>
      <c r="P955" s="114"/>
      <c r="Q955" s="114"/>
      <c r="R955" s="114"/>
      <c r="S955" s="114"/>
      <c r="T955" s="114"/>
    </row>
    <row r="956">
      <c r="O956" s="114"/>
      <c r="P956" s="114"/>
      <c r="Q956" s="114"/>
      <c r="R956" s="114"/>
      <c r="S956" s="114"/>
      <c r="T956" s="114"/>
    </row>
    <row r="957">
      <c r="O957" s="114"/>
      <c r="P957" s="114"/>
      <c r="Q957" s="114"/>
      <c r="R957" s="114"/>
      <c r="S957" s="114"/>
      <c r="T957" s="114"/>
    </row>
    <row r="958">
      <c r="O958" s="114"/>
      <c r="P958" s="114"/>
      <c r="Q958" s="114"/>
      <c r="R958" s="114"/>
      <c r="S958" s="114"/>
      <c r="T958" s="114"/>
    </row>
    <row r="959">
      <c r="O959" s="114"/>
      <c r="P959" s="114"/>
      <c r="Q959" s="114"/>
      <c r="R959" s="114"/>
      <c r="S959" s="114"/>
      <c r="T959" s="114"/>
    </row>
    <row r="960">
      <c r="O960" s="114"/>
      <c r="P960" s="114"/>
      <c r="Q960" s="114"/>
      <c r="R960" s="114"/>
      <c r="S960" s="114"/>
      <c r="T960" s="114"/>
    </row>
    <row r="961">
      <c r="O961" s="114"/>
      <c r="P961" s="114"/>
      <c r="Q961" s="114"/>
      <c r="R961" s="114"/>
      <c r="S961" s="114"/>
      <c r="T961" s="114"/>
    </row>
    <row r="962">
      <c r="O962" s="114"/>
      <c r="P962" s="114"/>
      <c r="Q962" s="114"/>
      <c r="R962" s="114"/>
      <c r="S962" s="114"/>
      <c r="T962" s="114"/>
    </row>
    <row r="963">
      <c r="O963" s="114"/>
      <c r="P963" s="114"/>
      <c r="Q963" s="114"/>
      <c r="R963" s="114"/>
      <c r="S963" s="114"/>
      <c r="T963" s="114"/>
    </row>
    <row r="964">
      <c r="O964" s="114"/>
      <c r="P964" s="114"/>
      <c r="Q964" s="114"/>
      <c r="R964" s="114"/>
      <c r="S964" s="114"/>
      <c r="T964" s="114"/>
    </row>
    <row r="965">
      <c r="O965" s="114"/>
      <c r="P965" s="114"/>
      <c r="Q965" s="114"/>
      <c r="R965" s="114"/>
      <c r="S965" s="114"/>
      <c r="T965" s="114"/>
    </row>
    <row r="966">
      <c r="O966" s="114"/>
      <c r="P966" s="114"/>
      <c r="Q966" s="114"/>
      <c r="R966" s="114"/>
      <c r="S966" s="114"/>
      <c r="T966" s="114"/>
    </row>
    <row r="967">
      <c r="O967" s="114"/>
      <c r="P967" s="114"/>
      <c r="Q967" s="114"/>
      <c r="R967" s="114"/>
      <c r="S967" s="114"/>
      <c r="T967" s="114"/>
    </row>
    <row r="968">
      <c r="O968" s="114"/>
      <c r="P968" s="114"/>
      <c r="Q968" s="114"/>
      <c r="R968" s="114"/>
      <c r="S968" s="114"/>
      <c r="T968" s="114"/>
    </row>
    <row r="969">
      <c r="O969" s="114"/>
      <c r="P969" s="114"/>
      <c r="Q969" s="114"/>
      <c r="R969" s="114"/>
      <c r="S969" s="114"/>
      <c r="T969" s="114"/>
    </row>
    <row r="970">
      <c r="O970" s="114"/>
      <c r="P970" s="114"/>
      <c r="Q970" s="114"/>
      <c r="R970" s="114"/>
      <c r="S970" s="114"/>
      <c r="T970" s="114"/>
    </row>
    <row r="971">
      <c r="O971" s="114"/>
      <c r="P971" s="114"/>
      <c r="Q971" s="114"/>
      <c r="R971" s="114"/>
      <c r="S971" s="114"/>
      <c r="T971" s="114"/>
    </row>
    <row r="972">
      <c r="O972" s="114"/>
      <c r="P972" s="114"/>
      <c r="Q972" s="114"/>
      <c r="R972" s="114"/>
      <c r="S972" s="114"/>
      <c r="T972" s="114"/>
    </row>
    <row r="973">
      <c r="O973" s="114"/>
      <c r="P973" s="114"/>
      <c r="Q973" s="114"/>
      <c r="R973" s="114"/>
      <c r="S973" s="114"/>
      <c r="T973" s="114"/>
    </row>
    <row r="974">
      <c r="O974" s="114"/>
      <c r="P974" s="114"/>
      <c r="Q974" s="114"/>
      <c r="R974" s="114"/>
      <c r="S974" s="114"/>
      <c r="T974" s="114"/>
    </row>
    <row r="975">
      <c r="O975" s="114"/>
      <c r="P975" s="114"/>
      <c r="Q975" s="114"/>
      <c r="R975" s="114"/>
      <c r="S975" s="114"/>
      <c r="T975" s="114"/>
    </row>
    <row r="976">
      <c r="O976" s="114"/>
      <c r="P976" s="114"/>
      <c r="Q976" s="114"/>
      <c r="R976" s="114"/>
      <c r="S976" s="114"/>
      <c r="T976" s="114"/>
    </row>
    <row r="977">
      <c r="O977" s="114"/>
      <c r="P977" s="114"/>
      <c r="Q977" s="114"/>
      <c r="R977" s="114"/>
      <c r="S977" s="114"/>
      <c r="T977" s="114"/>
    </row>
    <row r="978">
      <c r="O978" s="114"/>
      <c r="P978" s="114"/>
      <c r="Q978" s="114"/>
      <c r="R978" s="114"/>
      <c r="S978" s="114"/>
      <c r="T978" s="114"/>
    </row>
    <row r="979">
      <c r="O979" s="114"/>
      <c r="P979" s="114"/>
      <c r="Q979" s="114"/>
      <c r="R979" s="114"/>
      <c r="S979" s="114"/>
      <c r="T979" s="114"/>
    </row>
    <row r="980">
      <c r="O980" s="114"/>
      <c r="P980" s="114"/>
      <c r="Q980" s="114"/>
      <c r="R980" s="114"/>
      <c r="S980" s="114"/>
      <c r="T980" s="114"/>
    </row>
    <row r="981">
      <c r="O981" s="114"/>
      <c r="P981" s="114"/>
      <c r="Q981" s="114"/>
      <c r="R981" s="114"/>
      <c r="S981" s="114"/>
      <c r="T981" s="114"/>
    </row>
    <row r="982">
      <c r="O982" s="114"/>
      <c r="P982" s="114"/>
      <c r="Q982" s="114"/>
      <c r="R982" s="114"/>
      <c r="S982" s="114"/>
      <c r="T982" s="114"/>
    </row>
    <row r="983">
      <c r="O983" s="114"/>
      <c r="P983" s="114"/>
      <c r="Q983" s="114"/>
      <c r="R983" s="114"/>
      <c r="S983" s="114"/>
      <c r="T983" s="114"/>
    </row>
    <row r="984">
      <c r="O984" s="114"/>
      <c r="P984" s="114"/>
      <c r="Q984" s="114"/>
      <c r="R984" s="114"/>
      <c r="S984" s="114"/>
      <c r="T984" s="114"/>
    </row>
    <row r="985">
      <c r="O985" s="114"/>
      <c r="P985" s="114"/>
      <c r="Q985" s="114"/>
      <c r="R985" s="114"/>
      <c r="S985" s="114"/>
      <c r="T985" s="114"/>
    </row>
    <row r="986">
      <c r="O986" s="114"/>
      <c r="P986" s="114"/>
      <c r="Q986" s="114"/>
      <c r="R986" s="114"/>
      <c r="S986" s="114"/>
      <c r="T986" s="114"/>
    </row>
    <row r="987">
      <c r="O987" s="114"/>
      <c r="P987" s="114"/>
      <c r="Q987" s="114"/>
      <c r="R987" s="114"/>
      <c r="S987" s="114"/>
      <c r="T987" s="114"/>
    </row>
    <row r="988">
      <c r="O988" s="114"/>
      <c r="P988" s="114"/>
      <c r="Q988" s="114"/>
      <c r="R988" s="114"/>
      <c r="S988" s="114"/>
      <c r="T988" s="114"/>
    </row>
    <row r="989">
      <c r="O989" s="114"/>
      <c r="P989" s="114"/>
      <c r="Q989" s="114"/>
      <c r="R989" s="114"/>
      <c r="S989" s="114"/>
      <c r="T989" s="114"/>
    </row>
    <row r="990">
      <c r="O990" s="114"/>
      <c r="P990" s="114"/>
      <c r="Q990" s="114"/>
      <c r="R990" s="114"/>
      <c r="S990" s="114"/>
      <c r="T990" s="114"/>
    </row>
    <row r="991">
      <c r="O991" s="114"/>
      <c r="P991" s="114"/>
      <c r="Q991" s="114"/>
      <c r="R991" s="114"/>
      <c r="S991" s="114"/>
      <c r="T991" s="114"/>
    </row>
    <row r="992">
      <c r="O992" s="114"/>
      <c r="P992" s="114"/>
      <c r="Q992" s="114"/>
      <c r="R992" s="114"/>
      <c r="S992" s="114"/>
      <c r="T992" s="114"/>
    </row>
    <row r="993">
      <c r="O993" s="114"/>
      <c r="P993" s="114"/>
      <c r="Q993" s="114"/>
      <c r="R993" s="114"/>
      <c r="S993" s="114"/>
      <c r="T993" s="114"/>
    </row>
    <row r="994">
      <c r="O994" s="114"/>
      <c r="P994" s="114"/>
      <c r="Q994" s="114"/>
      <c r="R994" s="114"/>
      <c r="S994" s="114"/>
      <c r="T994" s="114"/>
    </row>
    <row r="995">
      <c r="O995" s="114"/>
      <c r="P995" s="114"/>
      <c r="Q995" s="114"/>
      <c r="R995" s="114"/>
      <c r="S995" s="114"/>
      <c r="T995" s="114"/>
    </row>
    <row r="996">
      <c r="O996" s="114"/>
      <c r="P996" s="114"/>
      <c r="Q996" s="114"/>
      <c r="R996" s="114"/>
      <c r="S996" s="114"/>
      <c r="T996" s="114"/>
    </row>
    <row r="997">
      <c r="O997" s="114"/>
      <c r="P997" s="114"/>
      <c r="Q997" s="114"/>
      <c r="R997" s="114"/>
      <c r="S997" s="114"/>
      <c r="T997" s="114"/>
    </row>
    <row r="998">
      <c r="O998" s="114"/>
      <c r="P998" s="114"/>
      <c r="Q998" s="114"/>
      <c r="R998" s="114"/>
      <c r="S998" s="114"/>
      <c r="T998" s="114"/>
    </row>
    <row r="999">
      <c r="O999" s="114"/>
      <c r="P999" s="114"/>
      <c r="Q999" s="114"/>
      <c r="R999" s="114"/>
      <c r="S999" s="114"/>
      <c r="T999" s="114"/>
    </row>
    <row r="1000">
      <c r="O1000" s="114"/>
      <c r="P1000" s="114"/>
      <c r="Q1000" s="114"/>
      <c r="R1000" s="114"/>
      <c r="S1000" s="114"/>
      <c r="T1000" s="114"/>
    </row>
  </sheetData>
  <mergeCells count="2">
    <mergeCell ref="O4:Q4"/>
    <mergeCell ref="A32:C32"/>
  </mergeCells>
  <drawing r:id="rId1"/>
  <tableParts count="1">
    <tablePart r:id="rId3"/>
  </tableParts>
</worksheet>
</file>