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ive\Projects\Legs\docs\Profile selection\"/>
    </mc:Choice>
  </mc:AlternateContent>
  <bookViews>
    <workbookView xWindow="0" yWindow="0" windowWidth="17256" windowHeight="5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D15" i="1"/>
  <c r="J42" i="1"/>
  <c r="J43" i="1"/>
  <c r="J44" i="1"/>
  <c r="J45" i="1"/>
  <c r="J41" i="1"/>
  <c r="I42" i="1"/>
  <c r="I43" i="1"/>
  <c r="I44" i="1"/>
  <c r="I45" i="1"/>
  <c r="I41" i="1"/>
  <c r="J33" i="1"/>
  <c r="J34" i="1"/>
  <c r="J35" i="1"/>
  <c r="J36" i="1"/>
  <c r="J37" i="1"/>
  <c r="J32" i="1"/>
  <c r="I33" i="1"/>
  <c r="I34" i="1"/>
  <c r="I35" i="1"/>
  <c r="I36" i="1"/>
  <c r="I37" i="1"/>
  <c r="I32" i="1"/>
  <c r="J21" i="1"/>
  <c r="J22" i="1"/>
  <c r="J23" i="1"/>
  <c r="J24" i="1"/>
  <c r="J25" i="1"/>
  <c r="J26" i="1"/>
  <c r="J27" i="1"/>
  <c r="J28" i="1"/>
  <c r="J20" i="1"/>
  <c r="I21" i="1"/>
  <c r="I22" i="1"/>
  <c r="I23" i="1"/>
  <c r="I24" i="1"/>
  <c r="I25" i="1"/>
  <c r="I26" i="1"/>
  <c r="I27" i="1"/>
  <c r="I28" i="1"/>
  <c r="I20" i="1"/>
  <c r="B20" i="1" l="1"/>
  <c r="C20" i="1"/>
  <c r="B21" i="1"/>
  <c r="C21" i="1"/>
  <c r="B22" i="1"/>
  <c r="C22" i="1"/>
  <c r="C37" i="1"/>
  <c r="C36" i="1"/>
  <c r="C32" i="1"/>
  <c r="C33" i="1"/>
  <c r="B28" i="1"/>
  <c r="C28" i="1"/>
  <c r="B27" i="1"/>
  <c r="C27" i="1"/>
  <c r="B26" i="1"/>
  <c r="C26" i="1"/>
  <c r="B25" i="1"/>
  <c r="C25" i="1"/>
  <c r="B24" i="1"/>
  <c r="C24" i="1"/>
  <c r="B23" i="1"/>
  <c r="C23" i="1"/>
  <c r="D27" i="1"/>
  <c r="D24" i="1" l="1"/>
  <c r="D26" i="1"/>
  <c r="D21" i="1"/>
  <c r="D20" i="1"/>
  <c r="D22" i="1"/>
  <c r="D28" i="1"/>
  <c r="D25" i="1"/>
  <c r="D23" i="1"/>
  <c r="D33" i="1"/>
  <c r="D36" i="1"/>
  <c r="D37" i="1"/>
  <c r="D32" i="1"/>
  <c r="D42" i="1"/>
  <c r="D43" i="1"/>
  <c r="D44" i="1"/>
  <c r="D45" i="1"/>
  <c r="D41" i="1"/>
  <c r="D16" i="1"/>
  <c r="H25" i="1" s="1"/>
  <c r="G22" i="1" l="1"/>
  <c r="G32" i="1"/>
  <c r="G23" i="1"/>
  <c r="G28" i="1"/>
  <c r="D13" i="1"/>
  <c r="H43" i="1"/>
  <c r="H37" i="1"/>
  <c r="H27" i="1"/>
  <c r="H44" i="1"/>
  <c r="H32" i="1"/>
  <c r="H28" i="1"/>
  <c r="H45" i="1"/>
  <c r="H21" i="1"/>
  <c r="H20" i="1"/>
  <c r="H41" i="1"/>
  <c r="H22" i="1"/>
  <c r="H26" i="1"/>
  <c r="H33" i="1"/>
  <c r="H23" i="1"/>
  <c r="D14" i="1"/>
  <c r="H24" i="1"/>
  <c r="H42" i="1"/>
  <c r="H36" i="1"/>
  <c r="G26" i="1"/>
  <c r="G27" i="1"/>
  <c r="G20" i="1"/>
  <c r="G21" i="1"/>
  <c r="G33" i="1"/>
  <c r="G25" i="1"/>
  <c r="G43" i="1"/>
  <c r="G42" i="1"/>
  <c r="G37" i="1"/>
  <c r="G36" i="1"/>
  <c r="G41" i="1"/>
  <c r="G45" i="1"/>
  <c r="G44" i="1"/>
  <c r="E44" i="1"/>
  <c r="C35" i="1"/>
  <c r="C34" i="1"/>
  <c r="E25" i="1" l="1"/>
  <c r="E32" i="1"/>
  <c r="E24" i="1"/>
  <c r="E28" i="1"/>
  <c r="E45" i="1"/>
  <c r="E23" i="1"/>
  <c r="E41" i="1"/>
  <c r="E21" i="1"/>
  <c r="E42" i="1"/>
  <c r="E27" i="1"/>
  <c r="E43" i="1"/>
  <c r="E26" i="1"/>
  <c r="E20" i="1"/>
  <c r="E37" i="1"/>
  <c r="E22" i="1"/>
  <c r="D35" i="1"/>
  <c r="E35" i="1"/>
  <c r="D34" i="1"/>
  <c r="E33" i="1"/>
  <c r="E34" i="1"/>
  <c r="E36" i="1"/>
  <c r="G34" i="1" l="1"/>
  <c r="H34" i="1"/>
  <c r="G35" i="1"/>
  <c r="H35" i="1"/>
  <c r="F22" i="1"/>
  <c r="F21" i="1"/>
  <c r="F20" i="1"/>
  <c r="F28" i="1"/>
  <c r="F24" i="1"/>
  <c r="F27" i="1"/>
  <c r="F25" i="1"/>
  <c r="F26" i="1"/>
  <c r="F34" i="1"/>
  <c r="F32" i="1"/>
  <c r="F37" i="1"/>
  <c r="F33" i="1"/>
  <c r="F42" i="1"/>
  <c r="F43" i="1"/>
  <c r="F44" i="1"/>
  <c r="F36" i="1"/>
  <c r="F45" i="1"/>
  <c r="F41" i="1"/>
  <c r="F35" i="1"/>
  <c r="F23" i="1"/>
</calcChain>
</file>

<file path=xl/sharedStrings.xml><?xml version="1.0" encoding="utf-8"?>
<sst xmlns="http://schemas.openxmlformats.org/spreadsheetml/2006/main" count="53" uniqueCount="39">
  <si>
    <t>INPUT PARAMETERS</t>
  </si>
  <si>
    <t>TUBES</t>
  </si>
  <si>
    <t>RODS</t>
  </si>
  <si>
    <t>BOXES</t>
  </si>
  <si>
    <t>Maximum deformation allowed [mm]</t>
  </si>
  <si>
    <t>OPTIMAL KNEE'S PROFILE</t>
  </si>
  <si>
    <t>OPTIMAL HIP'S PROFILE</t>
  </si>
  <si>
    <t>http://www.easycomposites.co.uk/#!/cured-carbon-fibre-products/carbon-fibre-tube/woven-finish-carbon-fibre-tube/glossy-3k-woven-finish-5mm-3mm.html</t>
  </si>
  <si>
    <t>http://www.easycomposites.co.uk/#!/cured-carbon-fibre-products/carbon-fibre-box-section/carbon-fibre-box-section-4mm-2-5mm.html</t>
  </si>
  <si>
    <t>r2 [mm]</t>
  </si>
  <si>
    <t>r1 [mm]</t>
  </si>
  <si>
    <t>Knee's displacement in extreme [mm]</t>
  </si>
  <si>
    <t>Knee's  displacement in extreme [mm]</t>
  </si>
  <si>
    <t>Hip's  displacement in extreme [mm]</t>
  </si>
  <si>
    <t>TORQUE IN KNEE [N*m]</t>
  </si>
  <si>
    <t>TORQUE IN HIP [N*m]</t>
  </si>
  <si>
    <t>FORCE IN KNEE'S EXTREME [N]</t>
  </si>
  <si>
    <t>FORCE IN HIP'S EXTREME [N]</t>
  </si>
  <si>
    <t>http://www.easycomposites.co.uk/#!/cured-carbon-fibre-products/carbon-fibre-tube/roll-wrapped-carbon-fibre-tube/carbon-fibre-tube-roll-wrapped-19mm.html</t>
  </si>
  <si>
    <t>Mass Knee [g]</t>
  </si>
  <si>
    <t>Mass Hip [g]</t>
  </si>
  <si>
    <t>Tube 20-18</t>
  </si>
  <si>
    <t>*</t>
  </si>
  <si>
    <t>Intertia moment [m^4]</t>
  </si>
  <si>
    <t>Elastic module [N/m] *</t>
  </si>
  <si>
    <t>Ultimate tensile stress [N/m] *</t>
  </si>
  <si>
    <t>Density [kg/m^3]*</t>
  </si>
  <si>
    <t>Total mass [kg]</t>
  </si>
  <si>
    <t>Jump height [m]</t>
  </si>
  <si>
    <t>Impact displacement [m]</t>
  </si>
  <si>
    <t>Knee Length [m]</t>
  </si>
  <si>
    <t>Hip Length [m]</t>
  </si>
  <si>
    <t>Stress knee [N/m^2]</t>
  </si>
  <si>
    <t>Stress Hip [N/m^2]</t>
  </si>
  <si>
    <t>r [mm]</t>
  </si>
  <si>
    <t>Interior side [mm]</t>
  </si>
  <si>
    <t>Exterior side [mm]</t>
  </si>
  <si>
    <t>Bearing</t>
  </si>
  <si>
    <t>http://dk.rs-online.com/web/p/kuglelejer/8937420/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</si>
</sst>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8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0" fillId="0" borderId="7" xfId="0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2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0" xfId="0" applyNumberFormat="1" applyBorder="1"/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1" fontId="0" fillId="0" borderId="9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7" xfId="0" applyNumberForma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0" xfId="1"/>
    <xf numFmtId="2" fontId="0" fillId="0" borderId="0" xfId="0" applyNumberFormat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5" fillId="0" borderId="2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asycomposites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topLeftCell="A25" zoomScale="70" zoomScaleNormal="70" workbookViewId="0">
      <selection activeCell="C57" sqref="C57"/>
    </sheetView>
  </sheetViews>
  <sheetFormatPr defaultRowHeight="14.4" x14ac:dyDescent="0.3"/>
  <cols>
    <col min="2" max="2" width="17.6640625" customWidth="1"/>
    <col min="3" max="3" width="24.44140625" customWidth="1"/>
    <col min="4" max="4" width="22.77734375" customWidth="1"/>
    <col min="5" max="5" width="18.33203125" bestFit="1" customWidth="1"/>
    <col min="6" max="6" width="19.88671875" customWidth="1"/>
    <col min="7" max="7" width="35.109375" customWidth="1"/>
    <col min="8" max="8" width="32.109375" customWidth="1"/>
    <col min="9" max="9" width="22.77734375" bestFit="1" customWidth="1"/>
    <col min="10" max="10" width="14" customWidth="1"/>
    <col min="11" max="11" width="27.21875" bestFit="1" customWidth="1"/>
    <col min="12" max="12" width="27.21875" customWidth="1"/>
    <col min="13" max="13" width="10.6640625" bestFit="1" customWidth="1"/>
    <col min="15" max="15" width="8" bestFit="1" customWidth="1"/>
    <col min="16" max="16" width="22.77734375" bestFit="1" customWidth="1"/>
    <col min="17" max="17" width="12" bestFit="1" customWidth="1"/>
    <col min="18" max="18" width="11" bestFit="1" customWidth="1"/>
    <col min="19" max="19" width="27.21875" bestFit="1" customWidth="1"/>
    <col min="20" max="20" width="10.6640625" bestFit="1" customWidth="1"/>
    <col min="22" max="22" width="10.88671875" bestFit="1" customWidth="1"/>
    <col min="23" max="23" width="11.21875" bestFit="1" customWidth="1"/>
    <col min="24" max="24" width="11.21875" customWidth="1"/>
    <col min="25" max="25" width="10.44140625" bestFit="1" customWidth="1"/>
    <col min="26" max="26" width="12" bestFit="1" customWidth="1"/>
    <col min="27" max="27" width="12" customWidth="1"/>
    <col min="28" max="28" width="10.6640625" bestFit="1" customWidth="1"/>
  </cols>
  <sheetData>
    <row r="1" spans="1:27" ht="15" thickBot="1" x14ac:dyDescent="0.35"/>
    <row r="2" spans="1:27" ht="18.600000000000001" thickBot="1" x14ac:dyDescent="0.4">
      <c r="B2" s="34" t="s">
        <v>0</v>
      </c>
      <c r="C2" s="35"/>
      <c r="D2" s="36"/>
    </row>
    <row r="3" spans="1:27" x14ac:dyDescent="0.3">
      <c r="A3" s="1"/>
      <c r="B3" s="32" t="s">
        <v>25</v>
      </c>
      <c r="C3" s="33"/>
      <c r="D3" s="3">
        <v>750000000</v>
      </c>
    </row>
    <row r="4" spans="1:27" x14ac:dyDescent="0.3">
      <c r="A4" s="5"/>
      <c r="B4" s="32" t="s">
        <v>4</v>
      </c>
      <c r="C4" s="40"/>
      <c r="D4" s="5">
        <v>5</v>
      </c>
    </row>
    <row r="5" spans="1:27" x14ac:dyDescent="0.3">
      <c r="A5" s="5"/>
      <c r="B5" s="40" t="s">
        <v>24</v>
      </c>
      <c r="C5" s="40"/>
      <c r="D5" s="3">
        <v>90000000000</v>
      </c>
    </row>
    <row r="6" spans="1:27" x14ac:dyDescent="0.3">
      <c r="A6" s="5"/>
      <c r="B6" s="32" t="s">
        <v>26</v>
      </c>
      <c r="C6" s="40"/>
      <c r="D6" s="3">
        <v>1600</v>
      </c>
    </row>
    <row r="7" spans="1:27" x14ac:dyDescent="0.3">
      <c r="A7" s="5"/>
      <c r="B7" s="33" t="s">
        <v>27</v>
      </c>
      <c r="C7" s="33"/>
      <c r="D7" s="4">
        <v>1.5</v>
      </c>
    </row>
    <row r="8" spans="1:27" x14ac:dyDescent="0.3">
      <c r="A8" s="5"/>
      <c r="B8" s="33" t="s">
        <v>28</v>
      </c>
      <c r="C8" s="33"/>
      <c r="D8" s="5">
        <v>0.1</v>
      </c>
    </row>
    <row r="9" spans="1:27" x14ac:dyDescent="0.3">
      <c r="B9" s="32" t="s">
        <v>29</v>
      </c>
      <c r="C9" s="33"/>
      <c r="D9" s="5">
        <v>5.0000000000000001E-3</v>
      </c>
    </row>
    <row r="10" spans="1:27" x14ac:dyDescent="0.3">
      <c r="B10" s="32" t="s">
        <v>30</v>
      </c>
      <c r="C10" s="33"/>
      <c r="D10" s="5">
        <v>0.21260000000000001</v>
      </c>
      <c r="Y10" s="2"/>
      <c r="Z10" s="2"/>
      <c r="AA10" s="2"/>
    </row>
    <row r="11" spans="1:27" ht="15" thickBot="1" x14ac:dyDescent="0.35">
      <c r="B11" s="43" t="s">
        <v>31</v>
      </c>
      <c r="C11" s="44"/>
      <c r="D11" s="6">
        <v>0.26219999999999999</v>
      </c>
    </row>
    <row r="12" spans="1:27" ht="15" thickBot="1" x14ac:dyDescent="0.35"/>
    <row r="13" spans="1:27" ht="18" x14ac:dyDescent="0.35">
      <c r="B13" s="51" t="s">
        <v>14</v>
      </c>
      <c r="C13" s="52"/>
      <c r="D13" s="29">
        <f>D15*D10</f>
        <v>62.568180000000005</v>
      </c>
    </row>
    <row r="14" spans="1:27" ht="18" x14ac:dyDescent="0.35">
      <c r="B14" s="41" t="s">
        <v>15</v>
      </c>
      <c r="C14" s="42"/>
      <c r="D14" s="30">
        <f>D16*(D11+D10)</f>
        <v>139.73364000000001</v>
      </c>
    </row>
    <row r="15" spans="1:27" ht="18" x14ac:dyDescent="0.35">
      <c r="B15" s="41" t="s">
        <v>16</v>
      </c>
      <c r="C15" s="42"/>
      <c r="D15" s="4">
        <f>D7*9.81*D8/D9</f>
        <v>294.3</v>
      </c>
    </row>
    <row r="16" spans="1:27" ht="18.600000000000001" thickBot="1" x14ac:dyDescent="0.4">
      <c r="B16" s="49" t="s">
        <v>17</v>
      </c>
      <c r="C16" s="50"/>
      <c r="D16" s="31">
        <f>D7*9.81*D8/D9</f>
        <v>294.3</v>
      </c>
    </row>
    <row r="17" spans="2:11" ht="15" thickBot="1" x14ac:dyDescent="0.35">
      <c r="J17" s="56"/>
    </row>
    <row r="18" spans="2:11" ht="18.600000000000001" thickBot="1" x14ac:dyDescent="0.4">
      <c r="B18" s="37" t="s">
        <v>1</v>
      </c>
      <c r="C18" s="38"/>
      <c r="D18" s="38"/>
      <c r="E18" s="38"/>
      <c r="F18" s="38"/>
      <c r="G18" s="38"/>
      <c r="H18" s="38"/>
      <c r="I18" s="38"/>
      <c r="J18" s="39"/>
      <c r="K18" s="55"/>
    </row>
    <row r="19" spans="2:11" ht="15" thickBot="1" x14ac:dyDescent="0.35">
      <c r="B19" s="7" t="s">
        <v>10</v>
      </c>
      <c r="C19" s="8" t="s">
        <v>9</v>
      </c>
      <c r="D19" s="8" t="s">
        <v>23</v>
      </c>
      <c r="E19" s="8" t="s">
        <v>32</v>
      </c>
      <c r="F19" s="8" t="s">
        <v>33</v>
      </c>
      <c r="G19" s="8" t="s">
        <v>12</v>
      </c>
      <c r="H19" s="8" t="s">
        <v>13</v>
      </c>
      <c r="I19" s="11" t="s">
        <v>19</v>
      </c>
      <c r="J19" s="57" t="s">
        <v>20</v>
      </c>
    </row>
    <row r="20" spans="2:11" x14ac:dyDescent="0.3">
      <c r="B20" s="12">
        <f>10/2/1000</f>
        <v>5.0000000000000001E-3</v>
      </c>
      <c r="C20" s="13">
        <f>12/2/1000</f>
        <v>6.0000000000000001E-3</v>
      </c>
      <c r="D20" s="14">
        <f t="shared" ref="D20:D22" si="0">PI()*(C20^4-B20^4)/4</f>
        <v>5.2700216763968788E-10</v>
      </c>
      <c r="E20" s="66">
        <f t="shared" ref="E20:E22" si="1">(4*C20)/(PI()*(C20^4-B20^4))*$D$13</f>
        <v>712348265.43762481</v>
      </c>
      <c r="F20" s="14">
        <f t="shared" ref="F20:F22" si="2">(4*C20)/(PI()*(C20^4-B20^4))*$D$14</f>
        <v>1590888788.4749966</v>
      </c>
      <c r="G20" s="26">
        <f>($D$15*($D$10^3))/(3*$D$5*$D20)*1000</f>
        <v>19.87485079378488</v>
      </c>
      <c r="H20" s="26">
        <f>($D$16*($D$10^3))/(3*$D$5*$D20)*1000</f>
        <v>19.87485079378488</v>
      </c>
      <c r="I20" s="54">
        <f>$D$6*(PI()*(C20^2-B20^2)*$D$10)*1000</f>
        <v>11.755085727496143</v>
      </c>
      <c r="J20" s="64">
        <f>$D$6*(PI()*(C20^2-B20^2)*$D$11)*1000</f>
        <v>14.497570450373889</v>
      </c>
    </row>
    <row r="21" spans="2:11" x14ac:dyDescent="0.3">
      <c r="B21" s="12">
        <f>12/2/1000</f>
        <v>6.0000000000000001E-3</v>
      </c>
      <c r="C21" s="13">
        <f>14/2/1000</f>
        <v>7.0000000000000001E-3</v>
      </c>
      <c r="D21" s="14">
        <f t="shared" si="0"/>
        <v>8.6786497055418087E-10</v>
      </c>
      <c r="E21" s="66">
        <f t="shared" si="1"/>
        <v>504660603.73461878</v>
      </c>
      <c r="F21" s="14">
        <f t="shared" si="2"/>
        <v>1127059523.2981985</v>
      </c>
      <c r="G21" s="26">
        <f t="shared" ref="G21:G22" si="3">($D$15*($D$10^3))/(3*$D$5*$D21)*1000</f>
        <v>12.068800798759863</v>
      </c>
      <c r="H21" s="26">
        <f t="shared" ref="H21:H28" si="4">($D$16*($D$10^3))/(3*$D$5*$D21)*1000</f>
        <v>12.068800798759863</v>
      </c>
      <c r="I21" s="54">
        <f t="shared" ref="I21:I28" si="5">$D$6*(PI()*(C21^2-B21^2)*$D$10)*1000</f>
        <v>13.892374041586356</v>
      </c>
      <c r="J21" s="19">
        <f t="shared" ref="J21:J28" si="6">$D$6*(PI()*(C21^2-B21^2)*$D$11)*1000</f>
        <v>17.133492350441877</v>
      </c>
    </row>
    <row r="22" spans="2:11" x14ac:dyDescent="0.3">
      <c r="B22" s="12">
        <f>14/2/1000</f>
        <v>7.0000000000000001E-3</v>
      </c>
      <c r="C22" s="13">
        <f>16/2/1000</f>
        <v>8.0000000000000002E-3</v>
      </c>
      <c r="D22" s="14">
        <f t="shared" si="0"/>
        <v>1.3312498869586743E-9</v>
      </c>
      <c r="E22" s="66">
        <f t="shared" si="1"/>
        <v>375996606.57513982</v>
      </c>
      <c r="F22" s="14">
        <f t="shared" si="2"/>
        <v>839713964.26094258</v>
      </c>
      <c r="G22" s="26">
        <f t="shared" si="3"/>
        <v>7.8678612876871155</v>
      </c>
      <c r="H22" s="26">
        <f t="shared" si="4"/>
        <v>7.8678612876871155</v>
      </c>
      <c r="I22" s="54">
        <f t="shared" si="5"/>
        <v>16.029662355676553</v>
      </c>
      <c r="J22" s="19">
        <f t="shared" si="6"/>
        <v>19.76941425050984</v>
      </c>
    </row>
    <row r="23" spans="2:11" x14ac:dyDescent="0.3">
      <c r="B23" s="12">
        <f>16/2/1000</f>
        <v>8.0000000000000002E-3</v>
      </c>
      <c r="C23" s="13">
        <f>18/2/1000</f>
        <v>8.9999999999999993E-3</v>
      </c>
      <c r="D23" s="14">
        <f>PI()*(C23^4-B23^4)/4</f>
        <v>1.9360064727747087E-9</v>
      </c>
      <c r="E23" s="66">
        <f t="shared" ref="E23:E28" si="7">(4*C23)/(PI()*(C23^4-B23^4))*$D$13</f>
        <v>290863500.67463279</v>
      </c>
      <c r="F23" s="14">
        <f t="shared" ref="F23:F28" si="8">(4*C23)/(PI()*(C23^4-B23^4))*$D$14</f>
        <v>649586030.6694057</v>
      </c>
      <c r="G23" s="26">
        <f t="shared" ref="G23:G28" si="9">($D$15*($D$10^3))/(3*$D$5*$D23)*1000</f>
        <v>5.4101520822027043</v>
      </c>
      <c r="H23" s="26">
        <f t="shared" si="4"/>
        <v>5.4101520822027043</v>
      </c>
      <c r="I23" s="54">
        <f t="shared" si="5"/>
        <v>18.166950669766763</v>
      </c>
      <c r="J23" s="19">
        <f t="shared" si="6"/>
        <v>22.405336150577821</v>
      </c>
    </row>
    <row r="24" spans="2:11" x14ac:dyDescent="0.3">
      <c r="B24" s="12">
        <f>18/2/1000</f>
        <v>8.9999999999999993E-3</v>
      </c>
      <c r="C24" s="13">
        <f>20/2/1000</f>
        <v>0.01</v>
      </c>
      <c r="D24" s="14">
        <f t="shared" ref="D24:D28" si="10">PI()*(C24^4-B24^4)/4</f>
        <v>2.7009842839238259E-9</v>
      </c>
      <c r="E24" s="66">
        <f t="shared" si="7"/>
        <v>231649552.24805957</v>
      </c>
      <c r="F24" s="14">
        <f t="shared" si="8"/>
        <v>517343402.66876143</v>
      </c>
      <c r="G24" s="26">
        <f>($D$15*($D$10^3))/(3*$D$5*$D24)*1000</f>
        <v>3.8778787096916689</v>
      </c>
      <c r="H24" s="26">
        <f t="shared" si="4"/>
        <v>3.8778787096916689</v>
      </c>
      <c r="I24" s="54">
        <f t="shared" si="5"/>
        <v>20.304238983856994</v>
      </c>
      <c r="J24" s="19">
        <f t="shared" si="6"/>
        <v>25.04125805064583</v>
      </c>
    </row>
    <row r="25" spans="2:11" x14ac:dyDescent="0.3">
      <c r="B25" s="12">
        <f>22/2/1000</f>
        <v>1.0999999999999999E-2</v>
      </c>
      <c r="C25" s="13">
        <f>25/2/1000</f>
        <v>1.2500000000000001E-2</v>
      </c>
      <c r="D25" s="14">
        <f t="shared" si="10"/>
        <v>7.6757453382684856E-9</v>
      </c>
      <c r="E25" s="66">
        <f t="shared" si="7"/>
        <v>101892678.23943059</v>
      </c>
      <c r="F25" s="14">
        <f t="shared" si="8"/>
        <v>227557119.60527584</v>
      </c>
      <c r="G25" s="26">
        <f t="shared" si="9"/>
        <v>1.3645696917040731</v>
      </c>
      <c r="H25" s="26">
        <f>($D$16*($D$10^3))/(3*$D$5*$D25)*1000</f>
        <v>1.3645696917040731</v>
      </c>
      <c r="I25" s="54">
        <f t="shared" si="5"/>
        <v>37.669706535839957</v>
      </c>
      <c r="J25" s="19">
        <f t="shared" si="6"/>
        <v>46.458123488698206</v>
      </c>
    </row>
    <row r="26" spans="2:11" x14ac:dyDescent="0.3">
      <c r="B26" s="12">
        <f>23/2/1000</f>
        <v>1.15E-2</v>
      </c>
      <c r="C26" s="13">
        <f>25/2/1000</f>
        <v>1.2500000000000001E-2</v>
      </c>
      <c r="D26" s="14">
        <f t="shared" si="10"/>
        <v>5.438096883363942E-9</v>
      </c>
      <c r="E26" s="66">
        <f t="shared" si="7"/>
        <v>143819109.29034442</v>
      </c>
      <c r="F26" s="14">
        <f t="shared" si="8"/>
        <v>321191500.89866191</v>
      </c>
      <c r="G26" s="26">
        <f t="shared" si="9"/>
        <v>1.9260578975490512</v>
      </c>
      <c r="H26" s="26">
        <f t="shared" si="4"/>
        <v>1.9260578975490512</v>
      </c>
      <c r="I26" s="54">
        <f t="shared" si="5"/>
        <v>25.647459769082545</v>
      </c>
      <c r="J26" s="19">
        <f t="shared" si="6"/>
        <v>31.631062800815819</v>
      </c>
    </row>
    <row r="27" spans="2:11" x14ac:dyDescent="0.3">
      <c r="B27" s="12">
        <f>27/2/1000</f>
        <v>1.35E-2</v>
      </c>
      <c r="C27" s="13">
        <f>30/2/1000</f>
        <v>1.4999999999999999E-2</v>
      </c>
      <c r="D27" s="14">
        <f t="shared" si="10"/>
        <v>1.3673732937364367E-8</v>
      </c>
      <c r="E27" s="66">
        <f t="shared" si="7"/>
        <v>68636904.369795427</v>
      </c>
      <c r="F27" s="14">
        <f t="shared" si="8"/>
        <v>153286934.12407747</v>
      </c>
      <c r="G27" s="26">
        <f t="shared" si="9"/>
        <v>0.76600073277860148</v>
      </c>
      <c r="H27" s="26">
        <f t="shared" si="4"/>
        <v>0.76600073277860148</v>
      </c>
      <c r="I27" s="54">
        <f t="shared" si="5"/>
        <v>45.68453771367821</v>
      </c>
      <c r="J27" s="19">
        <f t="shared" si="6"/>
        <v>56.342830613953083</v>
      </c>
    </row>
    <row r="28" spans="2:11" ht="15" thickBot="1" x14ac:dyDescent="0.35">
      <c r="B28" s="15">
        <f>37/2/1000</f>
        <v>1.8499999999999999E-2</v>
      </c>
      <c r="C28" s="16">
        <f>40/2/1000</f>
        <v>0.02</v>
      </c>
      <c r="D28" s="17">
        <f t="shared" si="10"/>
        <v>3.3666043186646445E-8</v>
      </c>
      <c r="E28" s="66">
        <f t="shared" si="7"/>
        <v>37169904.198790736</v>
      </c>
      <c r="F28" s="17">
        <f t="shared" si="8"/>
        <v>83011620.477826163</v>
      </c>
      <c r="G28" s="27">
        <f t="shared" si="9"/>
        <v>0.31111732946372878</v>
      </c>
      <c r="H28" s="26">
        <f t="shared" si="4"/>
        <v>0.31111732946372878</v>
      </c>
      <c r="I28" s="27">
        <f t="shared" si="5"/>
        <v>61.714200069354838</v>
      </c>
      <c r="J28" s="20">
        <f t="shared" si="6"/>
        <v>76.112244864463008</v>
      </c>
    </row>
    <row r="29" spans="2:11" ht="15" thickBot="1" x14ac:dyDescent="0.35">
      <c r="E29" s="28"/>
      <c r="F29" s="2"/>
      <c r="G29" s="25"/>
      <c r="H29" s="28"/>
      <c r="I29" s="2"/>
      <c r="J29" s="56"/>
    </row>
    <row r="30" spans="2:11" ht="18.600000000000001" thickBot="1" x14ac:dyDescent="0.4">
      <c r="C30" s="58" t="s">
        <v>2</v>
      </c>
      <c r="D30" s="59"/>
      <c r="E30" s="59"/>
      <c r="F30" s="59"/>
      <c r="G30" s="59"/>
      <c r="H30" s="59"/>
      <c r="I30" s="59"/>
      <c r="J30" s="60"/>
      <c r="K30" s="55"/>
    </row>
    <row r="31" spans="2:11" ht="15" thickBot="1" x14ac:dyDescent="0.35">
      <c r="C31" s="10" t="s">
        <v>34</v>
      </c>
      <c r="D31" s="11" t="s">
        <v>23</v>
      </c>
      <c r="E31" s="8" t="s">
        <v>32</v>
      </c>
      <c r="F31" s="8" t="s">
        <v>33</v>
      </c>
      <c r="G31" s="8" t="s">
        <v>11</v>
      </c>
      <c r="H31" s="8" t="s">
        <v>13</v>
      </c>
      <c r="I31" s="11" t="s">
        <v>19</v>
      </c>
      <c r="J31" s="67" t="s">
        <v>20</v>
      </c>
    </row>
    <row r="32" spans="2:11" x14ac:dyDescent="0.3">
      <c r="C32" s="18">
        <f>0.003/2</f>
        <v>1.5E-3</v>
      </c>
      <c r="D32" s="14">
        <f>PI()*(C32^4)/4</f>
        <v>3.9760782021995822E-12</v>
      </c>
      <c r="E32" s="14">
        <f t="shared" ref="E32:E37" si="11">4/(PI()*C32^3)*$D$13</f>
        <v>23604231412.772659</v>
      </c>
      <c r="F32" s="14">
        <f t="shared" ref="F32:F37" si="12">4/(PI()*C32^3)*$D$14</f>
        <v>52715376645.270264</v>
      </c>
      <c r="G32" s="26">
        <f t="shared" ref="G32:G37" si="13">($D$15*($D$10^3))/(3*$D$5*$D32)*1000</f>
        <v>2634.2765200256113</v>
      </c>
      <c r="H32" s="26">
        <f>($D$16*($D$10^3))/(3*$D$5*$D32)*1000</f>
        <v>2634.2765200256113</v>
      </c>
      <c r="I32" s="54">
        <f>$D$6*(PI()*(C32^2)*$D$10)*1000</f>
        <v>2.4044493533514841</v>
      </c>
      <c r="J32" s="19">
        <f>$D$6*(PI()*(C32^2)*$D$11)*1000</f>
        <v>2.9654121375764775</v>
      </c>
    </row>
    <row r="33" spans="2:10" x14ac:dyDescent="0.3">
      <c r="C33" s="12">
        <f>0.004/2</f>
        <v>2E-3</v>
      </c>
      <c r="D33" s="14">
        <f t="shared" ref="D33:D37" si="14">PI()*(C33^4)/4</f>
        <v>1.2566370614359172E-11</v>
      </c>
      <c r="E33" s="14">
        <f t="shared" si="11"/>
        <v>9958035127.2634659</v>
      </c>
      <c r="F33" s="14">
        <f t="shared" si="12"/>
        <v>22239299522.223392</v>
      </c>
      <c r="G33" s="26">
        <f t="shared" si="13"/>
        <v>833.50155516435359</v>
      </c>
      <c r="H33" s="26">
        <f t="shared" ref="H33:H37" si="15">($D$16*($D$10^3))/(3*$D$5*$D33)*1000</f>
        <v>833.50155516435359</v>
      </c>
      <c r="I33" s="54">
        <f t="shared" ref="I33:I37" si="16">$D$6*(PI()*(C33^2)*$D$10)*1000</f>
        <v>4.2745766281804158</v>
      </c>
      <c r="J33" s="19">
        <f t="shared" ref="J33:J37" si="17">$D$6*(PI()*(C33^2)*$D$11)*1000</f>
        <v>5.2718438001359589</v>
      </c>
    </row>
    <row r="34" spans="2:10" x14ac:dyDescent="0.3">
      <c r="C34" s="12">
        <f>0.005/2</f>
        <v>2.5000000000000001E-3</v>
      </c>
      <c r="D34" s="14">
        <f t="shared" si="14"/>
        <v>3.0679615757712823E-11</v>
      </c>
      <c r="E34" s="14">
        <f t="shared" si="11"/>
        <v>5098513985.1588936</v>
      </c>
      <c r="F34" s="14">
        <f t="shared" si="12"/>
        <v>11386521355.378374</v>
      </c>
      <c r="G34" s="26">
        <f t="shared" si="13"/>
        <v>341.40223699531919</v>
      </c>
      <c r="H34" s="26">
        <f t="shared" si="15"/>
        <v>341.40223699531919</v>
      </c>
      <c r="I34" s="54">
        <f t="shared" si="16"/>
        <v>6.6790259815318995</v>
      </c>
      <c r="J34" s="19">
        <f t="shared" si="17"/>
        <v>8.2372559377124386</v>
      </c>
    </row>
    <row r="35" spans="2:10" x14ac:dyDescent="0.3">
      <c r="C35" s="12">
        <f>0.006/2</f>
        <v>3.0000000000000001E-3</v>
      </c>
      <c r="D35" s="14">
        <f t="shared" si="14"/>
        <v>6.3617251235193316E-11</v>
      </c>
      <c r="E35" s="14">
        <f t="shared" si="11"/>
        <v>2950528926.5965824</v>
      </c>
      <c r="F35" s="14">
        <f t="shared" si="12"/>
        <v>6589422080.658783</v>
      </c>
      <c r="G35" s="26">
        <f t="shared" si="13"/>
        <v>164.6422825016007</v>
      </c>
      <c r="H35" s="26">
        <f t="shared" si="15"/>
        <v>164.6422825016007</v>
      </c>
      <c r="I35" s="54">
        <f t="shared" si="16"/>
        <v>9.6177974134059365</v>
      </c>
      <c r="J35" s="19">
        <f t="shared" si="17"/>
        <v>11.86164855030591</v>
      </c>
    </row>
    <row r="36" spans="2:10" x14ac:dyDescent="0.3">
      <c r="C36" s="12">
        <f>0.01/2</f>
        <v>5.0000000000000001E-3</v>
      </c>
      <c r="D36" s="14">
        <f t="shared" si="14"/>
        <v>4.9087385212340517E-10</v>
      </c>
      <c r="E36" s="14">
        <f t="shared" si="11"/>
        <v>637314248.1448617</v>
      </c>
      <c r="F36" s="14">
        <f t="shared" si="12"/>
        <v>1423315169.4222968</v>
      </c>
      <c r="G36" s="26">
        <f t="shared" si="13"/>
        <v>21.337639812207449</v>
      </c>
      <c r="H36" s="26">
        <f t="shared" si="15"/>
        <v>21.337639812207449</v>
      </c>
      <c r="I36" s="54">
        <f t="shared" si="16"/>
        <v>26.716103926127598</v>
      </c>
      <c r="J36" s="19">
        <f t="shared" si="17"/>
        <v>32.949023750849754</v>
      </c>
    </row>
    <row r="37" spans="2:10" ht="15" thickBot="1" x14ac:dyDescent="0.35">
      <c r="C37" s="15">
        <f>0.012/2</f>
        <v>6.0000000000000001E-3</v>
      </c>
      <c r="D37" s="17">
        <f t="shared" si="14"/>
        <v>1.0178760197630931E-9</v>
      </c>
      <c r="E37" s="17">
        <f t="shared" si="11"/>
        <v>368816115.8245728</v>
      </c>
      <c r="F37" s="17">
        <f t="shared" si="12"/>
        <v>823677760.08234787</v>
      </c>
      <c r="G37" s="26">
        <f t="shared" si="13"/>
        <v>10.290142656350044</v>
      </c>
      <c r="H37" s="26">
        <f t="shared" si="15"/>
        <v>10.290142656350044</v>
      </c>
      <c r="I37" s="27">
        <f t="shared" si="16"/>
        <v>38.471189653623746</v>
      </c>
      <c r="J37" s="20">
        <f t="shared" si="17"/>
        <v>47.44659420122364</v>
      </c>
    </row>
    <row r="38" spans="2:10" ht="15" thickBot="1" x14ac:dyDescent="0.35">
      <c r="F38" s="22"/>
      <c r="G38" s="22"/>
      <c r="H38" s="22"/>
      <c r="J38" s="56"/>
    </row>
    <row r="39" spans="2:10" ht="18.600000000000001" thickBot="1" x14ac:dyDescent="0.4">
      <c r="B39" s="61" t="s">
        <v>3</v>
      </c>
      <c r="C39" s="62"/>
      <c r="D39" s="62"/>
      <c r="E39" s="62"/>
      <c r="F39" s="62"/>
      <c r="G39" s="62"/>
      <c r="H39" s="62"/>
      <c r="I39" s="62"/>
      <c r="J39" s="63"/>
    </row>
    <row r="40" spans="2:10" ht="15" thickBot="1" x14ac:dyDescent="0.35">
      <c r="B40" s="10" t="s">
        <v>35</v>
      </c>
      <c r="C40" s="11" t="s">
        <v>36</v>
      </c>
      <c r="D40" s="11" t="s">
        <v>23</v>
      </c>
      <c r="E40" s="8" t="s">
        <v>32</v>
      </c>
      <c r="F40" s="9" t="s">
        <v>33</v>
      </c>
      <c r="G40" s="9" t="s">
        <v>11</v>
      </c>
      <c r="H40" s="8" t="s">
        <v>13</v>
      </c>
      <c r="I40" s="11" t="s">
        <v>19</v>
      </c>
      <c r="J40" s="67" t="s">
        <v>20</v>
      </c>
    </row>
    <row r="41" spans="2:10" x14ac:dyDescent="0.3">
      <c r="B41" s="12">
        <v>2.5000000000000001E-3</v>
      </c>
      <c r="C41" s="13">
        <v>4.0000000000000001E-3</v>
      </c>
      <c r="D41" s="14">
        <f>($C41^4-$B41^4)/12</f>
        <v>1.8078125000000001E-11</v>
      </c>
      <c r="E41" s="14">
        <f>(6*C41)/(C41^4-B41^4)*$D$13</f>
        <v>6921976698.3578224</v>
      </c>
      <c r="F41" s="14">
        <f>(6*C41)/(C41^4-B41^4)*$D$14</f>
        <v>15458864235.090752</v>
      </c>
      <c r="G41" s="26">
        <f>($D$15*($D$10^3))/(3*$D$5*$D41)*1000</f>
        <v>579.37919169382917</v>
      </c>
      <c r="H41" s="26">
        <f>($D$16*($D$10^3))/(3*$D$5*$D41)*1000</f>
        <v>579.37919169382917</v>
      </c>
      <c r="I41" s="54">
        <f>$D$6*((C41^2)-(B41^2))*$D$10*1000</f>
        <v>3.31656</v>
      </c>
      <c r="J41" s="19">
        <f>$D$6*((C41^2)-(B41^2))*$D$11*1000</f>
        <v>4.0903199999999993</v>
      </c>
    </row>
    <row r="42" spans="2:10" x14ac:dyDescent="0.3">
      <c r="B42" s="12">
        <v>4.0000000000000001E-3</v>
      </c>
      <c r="C42" s="13">
        <v>6.0000000000000001E-3</v>
      </c>
      <c r="D42" s="14">
        <f>($C42^4-$B42^4)/12</f>
        <v>8.6666666666666678E-11</v>
      </c>
      <c r="E42" s="14">
        <f>(6*C42)/(C42^4-B42^4)*$D$13</f>
        <v>2165821615.3846154</v>
      </c>
      <c r="F42" s="14">
        <f>(6*C42)/(C42^4-B42^4)*$D$14</f>
        <v>4836933692.3076925</v>
      </c>
      <c r="G42" s="26">
        <f>($D$15*($D$10^3))/(3*$D$5*$D42)*1000</f>
        <v>120.85487826738463</v>
      </c>
      <c r="H42" s="26">
        <f t="shared" ref="H42:H45" si="18">($D$16*($D$10^3))/(3*$D$5*$D42)*1000</f>
        <v>120.85487826738463</v>
      </c>
      <c r="I42" s="54">
        <f t="shared" ref="I42:I45" si="19">$D$6*((C42^2)-(B42^2))*$D$10*1000</f>
        <v>6.8032000000000004</v>
      </c>
      <c r="J42" s="19">
        <f t="shared" ref="J42:J45" si="20">$D$6*((C42^2)-(B42^2))*$D$11*1000</f>
        <v>8.3903999999999996</v>
      </c>
    </row>
    <row r="43" spans="2:10" x14ac:dyDescent="0.3">
      <c r="B43" s="12">
        <v>7.0000000000000001E-3</v>
      </c>
      <c r="C43" s="13">
        <v>8.0000000000000002E-3</v>
      </c>
      <c r="D43" s="14">
        <f>($C43^4-$B43^4)/12</f>
        <v>1.4124999999999993E-10</v>
      </c>
      <c r="E43" s="14">
        <f>(6*C43)/(C43^4-B43^4)*$D$13</f>
        <v>1771842265.4867268</v>
      </c>
      <c r="F43" s="14">
        <f>(6*C43)/(C43^4-B43^4)*$D$14</f>
        <v>3957058831.8584094</v>
      </c>
      <c r="G43" s="26">
        <f>($D$15*($D$10^3))/(3*$D$5*$D43)*1000</f>
        <v>74.152845662584141</v>
      </c>
      <c r="H43" s="26">
        <f t="shared" si="18"/>
        <v>74.152845662584141</v>
      </c>
      <c r="I43" s="54">
        <f t="shared" si="19"/>
        <v>5.1023999999999976</v>
      </c>
      <c r="J43" s="19">
        <f t="shared" si="20"/>
        <v>6.2927999999999962</v>
      </c>
    </row>
    <row r="44" spans="2:10" x14ac:dyDescent="0.3">
      <c r="B44" s="12">
        <v>8.0000000000000002E-3</v>
      </c>
      <c r="C44" s="13">
        <v>0.01</v>
      </c>
      <c r="D44" s="14">
        <f>($C44^4-$B44^4)/12</f>
        <v>4.9200000000000006E-10</v>
      </c>
      <c r="E44" s="14">
        <f>(6*C44)/(C44^4-B44^4)*$D$13</f>
        <v>635855487.804878</v>
      </c>
      <c r="F44" s="14">
        <f>(6*C44)/(C44^4-B44^4)*$D$14</f>
        <v>1420057317.0731707</v>
      </c>
      <c r="G44" s="26">
        <f>($D$15*($D$10^3))/(3*$D$5*$D44)*1000</f>
        <v>21.288799694796754</v>
      </c>
      <c r="H44" s="26">
        <f t="shared" si="18"/>
        <v>21.288799694796754</v>
      </c>
      <c r="I44" s="54">
        <f t="shared" si="19"/>
        <v>12.245760000000002</v>
      </c>
      <c r="J44" s="19">
        <f t="shared" si="20"/>
        <v>15.102720000000001</v>
      </c>
    </row>
    <row r="45" spans="2:10" ht="15" thickBot="1" x14ac:dyDescent="0.35">
      <c r="B45" s="15">
        <v>1.7000000000000001E-2</v>
      </c>
      <c r="C45" s="16">
        <v>0.02</v>
      </c>
      <c r="D45" s="17">
        <f>($C45^4-$B45^4)/12</f>
        <v>6.373249999999998E-9</v>
      </c>
      <c r="E45" s="17">
        <f>(6*C45)/(C45^4-B45^4)*$D$13</f>
        <v>98173114.188208565</v>
      </c>
      <c r="F45" s="17">
        <f>(6*C45)/(C45^4-B45^4)*$D$14</f>
        <v>219250209.86153069</v>
      </c>
      <c r="G45" s="26">
        <f>($D$15*($D$10^3))/(3*$D$5*$D45)*1000</f>
        <v>1.643445565424235</v>
      </c>
      <c r="H45" s="26">
        <f t="shared" si="18"/>
        <v>1.643445565424235</v>
      </c>
      <c r="I45" s="27">
        <f t="shared" si="19"/>
        <v>37.757759999999998</v>
      </c>
      <c r="J45" s="20">
        <f t="shared" si="20"/>
        <v>46.566719999999989</v>
      </c>
    </row>
    <row r="46" spans="2:10" ht="15" thickBot="1" x14ac:dyDescent="0.35">
      <c r="G46" s="21"/>
      <c r="H46" s="21"/>
    </row>
    <row r="47" spans="2:10" ht="18" x14ac:dyDescent="0.35">
      <c r="B47" s="45" t="s">
        <v>5</v>
      </c>
      <c r="C47" s="46"/>
      <c r="D47" s="46"/>
      <c r="E47" s="23" t="s">
        <v>21</v>
      </c>
      <c r="F47" t="s">
        <v>8</v>
      </c>
    </row>
    <row r="48" spans="2:10" ht="18.600000000000001" thickBot="1" x14ac:dyDescent="0.4">
      <c r="B48" s="47" t="s">
        <v>6</v>
      </c>
      <c r="C48" s="48"/>
      <c r="D48" s="48"/>
      <c r="E48" s="24" t="s">
        <v>21</v>
      </c>
      <c r="F48" t="s">
        <v>7</v>
      </c>
    </row>
    <row r="51" spans="1:3" x14ac:dyDescent="0.3">
      <c r="A51" s="65" t="s">
        <v>22</v>
      </c>
      <c r="B51" s="53" t="s">
        <v>18</v>
      </c>
    </row>
    <row r="53" spans="1:3" x14ac:dyDescent="0.3">
      <c r="B53" t="s">
        <v>37</v>
      </c>
      <c r="C53" t="s">
        <v>38</v>
      </c>
    </row>
  </sheetData>
  <mergeCells count="19">
    <mergeCell ref="B47:D47"/>
    <mergeCell ref="B48:D48"/>
    <mergeCell ref="B15:C15"/>
    <mergeCell ref="B16:C16"/>
    <mergeCell ref="B13:C13"/>
    <mergeCell ref="B18:J18"/>
    <mergeCell ref="C30:J30"/>
    <mergeCell ref="B39:J39"/>
    <mergeCell ref="B14:C14"/>
    <mergeCell ref="B8:C8"/>
    <mergeCell ref="B9:C9"/>
    <mergeCell ref="B10:C10"/>
    <mergeCell ref="B11:C11"/>
    <mergeCell ref="B3:C3"/>
    <mergeCell ref="B2:D2"/>
    <mergeCell ref="B5:C5"/>
    <mergeCell ref="B4:C4"/>
    <mergeCell ref="B7:C7"/>
    <mergeCell ref="B6:C6"/>
  </mergeCells>
  <conditionalFormatting sqref="F20:F28">
    <cfRule type="expression" dxfId="6" priority="14">
      <formula>"if($H$4 &lt; $D$3)"</formula>
    </cfRule>
  </conditionalFormatting>
  <conditionalFormatting sqref="E32:E37 E41:E45">
    <cfRule type="cellIs" dxfId="5" priority="11" operator="lessThan">
      <formula>$D$3</formula>
    </cfRule>
  </conditionalFormatting>
  <conditionalFormatting sqref="F32:F37 F41:F45 F20:F28">
    <cfRule type="cellIs" dxfId="4" priority="10" operator="lessThan">
      <formula>$D$3</formula>
    </cfRule>
  </conditionalFormatting>
  <conditionalFormatting sqref="G32:H37">
    <cfRule type="cellIs" dxfId="3" priority="7" operator="lessThan">
      <formula>$D$4</formula>
    </cfRule>
  </conditionalFormatting>
  <conditionalFormatting sqref="G20:H28">
    <cfRule type="cellIs" dxfId="2" priority="3" operator="lessThan">
      <formula>$D$4</formula>
    </cfRule>
  </conditionalFormatting>
  <conditionalFormatting sqref="G41:H45">
    <cfRule type="cellIs" dxfId="1" priority="2" operator="lessThan">
      <formula>$D$4</formula>
    </cfRule>
  </conditionalFormatting>
  <conditionalFormatting sqref="E20:E28">
    <cfRule type="cellIs" dxfId="0" priority="1" operator="lessThan">
      <formula>$D$3</formula>
    </cfRule>
  </conditionalFormatting>
  <hyperlinks>
    <hyperlink ref="B51" r:id="rId1" location="!/cured-carbon-fibre-products/carbon-fibre-tube/roll-wrapped-carbon-fibre-tube/carbon-fibre-tube-roll-wrapped-19mm.html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Rodriguez Marin</dc:creator>
  <cp:lastModifiedBy>Jorge Rodriguez Marin</cp:lastModifiedBy>
  <dcterms:created xsi:type="dcterms:W3CDTF">2016-03-08T15:13:37Z</dcterms:created>
  <dcterms:modified xsi:type="dcterms:W3CDTF">2016-03-14T14:10:25Z</dcterms:modified>
</cp:coreProperties>
</file>