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1" windowHeight="9840"/>
  </bookViews>
  <sheets>
    <sheet name="Android" sheetId="1" r:id="rId1"/>
    <sheet name="Sensor" sheetId="2" r:id="rId2"/>
    <sheet name="Camera" sheetId="3" r:id="rId3"/>
    <sheet name="Audio" sheetId="4" r:id="rId4"/>
  </sheets>
  <calcPr calcId="144525" concurrentCalc="0"/>
</workbook>
</file>

<file path=xl/sharedStrings.xml><?xml version="1.0" encoding="utf-8"?>
<sst xmlns="http://schemas.openxmlformats.org/spreadsheetml/2006/main" count="238">
  <si>
    <t>Project:</t>
  </si>
  <si>
    <t>iGuide</t>
  </si>
  <si>
    <t>12NC:</t>
  </si>
  <si>
    <t>BOM version:</t>
  </si>
  <si>
    <t>Android</t>
  </si>
  <si>
    <t>Costing version:</t>
  </si>
  <si>
    <t xml:space="preserve">Creation date: </t>
  </si>
  <si>
    <t>Currency:</t>
  </si>
  <si>
    <t>Exchange rates:</t>
  </si>
  <si>
    <t>Rompa Quote</t>
  </si>
  <si>
    <t>Part</t>
  </si>
  <si>
    <t>Description</t>
  </si>
  <si>
    <t>Component electrical value</t>
  </si>
  <si>
    <t>Supplier</t>
  </si>
  <si>
    <t>P/NO</t>
  </si>
  <si>
    <t>TSL</t>
  </si>
  <si>
    <t xml:space="preserve">MPN </t>
  </si>
  <si>
    <t>HF/NON HF</t>
  </si>
  <si>
    <t>MFG</t>
  </si>
  <si>
    <t>Direct or Disty</t>
  </si>
  <si>
    <t>Philips TSL</t>
  </si>
  <si>
    <t>MOQ</t>
  </si>
  <si>
    <t>Lead Time</t>
  </si>
  <si>
    <t>U/P HK$</t>
  </si>
  <si>
    <t>Usage</t>
  </si>
  <si>
    <t>U/P (HK$)</t>
  </si>
  <si>
    <t>Yr13 Philips TSL cost (HK$/pc)</t>
  </si>
  <si>
    <t>Capacitor</t>
  </si>
  <si>
    <t xml:space="preserve"> 22uF/10V +10/-10% X5R</t>
  </si>
  <si>
    <t>0805X226K100CT</t>
  </si>
  <si>
    <r>
      <t xml:space="preserve"> 22uF/</t>
    </r>
    <r>
      <rPr>
        <sz val="11"/>
        <color rgb="FFFF0000"/>
        <rFont val="DengXian (正文)"/>
        <charset val="134"/>
      </rPr>
      <t>6.3</t>
    </r>
    <r>
      <rPr>
        <sz val="11"/>
        <color rgb="FFFF0000"/>
        <rFont val="DengXian"/>
        <charset val="134"/>
      </rPr>
      <t>V +10/-10% X5R</t>
    </r>
  </si>
  <si>
    <t>0805X226K6R3CT</t>
  </si>
  <si>
    <t>WALSIN</t>
  </si>
  <si>
    <t xml:space="preserve">  1µF  ±5%  10V  X7R  </t>
  </si>
  <si>
    <t>0805B105J100CT</t>
  </si>
  <si>
    <r>
      <t xml:space="preserve">  1µF  ±1</t>
    </r>
    <r>
      <rPr>
        <sz val="11"/>
        <color rgb="FFFF0000"/>
        <rFont val="DengXian (正文)"/>
        <charset val="134"/>
      </rPr>
      <t>0</t>
    </r>
    <r>
      <rPr>
        <sz val="11"/>
        <color rgb="FFFF0000"/>
        <rFont val="DengXian"/>
        <charset val="134"/>
      </rPr>
      <t xml:space="preserve">%  6.3V  X5R  </t>
    </r>
  </si>
  <si>
    <t>0402X105K6R3CT</t>
  </si>
  <si>
    <t xml:space="preserve">  1µF  ±20%  50V  X5R  </t>
  </si>
  <si>
    <t>0805X105M500CT</t>
  </si>
  <si>
    <t xml:space="preserve">CAP CER 0.1UF 6.3V X7R +-10% 0402 </t>
  </si>
  <si>
    <t>0402B104K6R3CT</t>
  </si>
  <si>
    <t xml:space="preserve">CAP CER 0.1UF 10V X7R +-10% 0402 </t>
  </si>
  <si>
    <t>0402B104K100CT</t>
  </si>
  <si>
    <t>CAP CER 1000PF 6.3V X5R 0402 +10/-10%</t>
  </si>
  <si>
    <t xml:space="preserve">0402X102K6R3CT  </t>
  </si>
  <si>
    <t xml:space="preserve">CAP CER 12PF 10V C0G/NP0 0402 5% </t>
  </si>
  <si>
    <t>0402N120J100CT</t>
  </si>
  <si>
    <t>CAP CER 10UF 10V X7R 0805</t>
  </si>
  <si>
    <t>C0805C106J8RACAUTO</t>
  </si>
  <si>
    <t>CAP CER 10UF 6.3V X5R 10% 0603</t>
  </si>
  <si>
    <t>CGA5L3X5R1V106K</t>
  </si>
  <si>
    <r>
      <rPr>
        <sz val="11"/>
        <color theme="1"/>
        <rFont val="DengXian"/>
        <charset val="134"/>
      </rPr>
      <t xml:space="preserve">CAP CER 10UF </t>
    </r>
    <r>
      <rPr>
        <sz val="11"/>
        <color rgb="FFFF0000"/>
        <rFont val="DengXian (正文)"/>
        <charset val="134"/>
      </rPr>
      <t>25</t>
    </r>
    <r>
      <rPr>
        <sz val="11"/>
        <color theme="1"/>
        <rFont val="DengXian"/>
        <charset val="134"/>
      </rPr>
      <t xml:space="preserve">V X7S 1210 </t>
    </r>
  </si>
  <si>
    <t>C3225X7S1H106M250AB</t>
  </si>
  <si>
    <t xml:space="preserve">CAP CER 0.47UF 6.3V X5R 0402 </t>
  </si>
  <si>
    <t xml:space="preserve">C0402C474K9PACTU </t>
  </si>
  <si>
    <t>CAP CER 4.7UF 6.3V X5R 0402</t>
  </si>
  <si>
    <t xml:space="preserve">C1005X5R0J475K050BC </t>
  </si>
  <si>
    <t xml:space="preserve">CAP CER 22PF 50V C0G/NP0 0402 </t>
  </si>
  <si>
    <t>C0402C220K5GACTU</t>
  </si>
  <si>
    <t xml:space="preserve">CAP CER RF 7.5PF 50V +/-0.1 PF C </t>
  </si>
  <si>
    <t xml:space="preserve">CBR04C759B5GAC </t>
  </si>
  <si>
    <t xml:space="preserve">CAP CER 10PF 50V C0G/NP0 0402 </t>
  </si>
  <si>
    <t xml:space="preserve">CBR04C100F5GAC </t>
  </si>
  <si>
    <t>C1206C124J5RACTU</t>
  </si>
  <si>
    <t>C1005X7R1C223K</t>
  </si>
  <si>
    <t xml:space="preserve">CAP CER 33UF 6.3V X5R 1206 </t>
  </si>
  <si>
    <t xml:space="preserve">C3216X5R0J336M130AC </t>
  </si>
  <si>
    <t xml:space="preserve">CAP CER 25PF 50V NP0 0603 </t>
  </si>
  <si>
    <t xml:space="preserve">06035A250GAT2A
 </t>
  </si>
  <si>
    <t xml:space="preserve">CAP CER 2.2UF 6.3V X5R 0402 </t>
  </si>
  <si>
    <t xml:space="preserve">C0402C225M9PACTU </t>
  </si>
  <si>
    <t>Diodes</t>
  </si>
  <si>
    <t xml:space="preserve">DIODE SCHOTTKY 20V 3A SMC </t>
  </si>
  <si>
    <t>SS32</t>
  </si>
  <si>
    <t>ESD9B5V</t>
  </si>
  <si>
    <t>DIODE SCHOTTKY 40V 1A DO41</t>
  </si>
  <si>
    <t>1N5819</t>
  </si>
  <si>
    <t xml:space="preserve">DIODE SCHOTTKY 40V 3A SMC </t>
  </si>
  <si>
    <t>SS34</t>
  </si>
  <si>
    <t>ESD73051N</t>
  </si>
  <si>
    <t xml:space="preserve">DIODE SCHOTTKY 40V 3A SOD123W </t>
  </si>
  <si>
    <t>PMEG4030ER,115</t>
  </si>
  <si>
    <t xml:space="preserve">DIODE SCHOTTKY 30V 2A SOD123L </t>
  </si>
  <si>
    <t>MBR230LSFT1G</t>
  </si>
  <si>
    <t>DIODE SCHOTTKY 20V 1A SOD123</t>
  </si>
  <si>
    <t>B5819W-TP</t>
  </si>
  <si>
    <t>DIODE SCHOTTKY 30V 200MA SC70</t>
  </si>
  <si>
    <t xml:space="preserve">BAT54SWF </t>
  </si>
  <si>
    <t xml:space="preserve">MOSFET N/P-CH 30V TSMT8 </t>
  </si>
  <si>
    <t>QH8MA4</t>
  </si>
  <si>
    <t>LED</t>
  </si>
  <si>
    <t>GB-C193TBKT</t>
  </si>
  <si>
    <t>GB-C193TGKT</t>
  </si>
  <si>
    <t>BEAD</t>
  </si>
  <si>
    <t xml:space="preserve">FERRITE BEAD 180 OHM 0603 1LN </t>
  </si>
  <si>
    <t>BLM18PG181SN1</t>
  </si>
  <si>
    <t>Header</t>
  </si>
  <si>
    <t xml:space="preserve">CONN FPC BOTTOM 40POS 0.50MM R/A </t>
  </si>
  <si>
    <t>62684-401100ALF</t>
  </si>
  <si>
    <t>Resistor</t>
  </si>
  <si>
    <t xml:space="preserve">RES SMD 133 OHM 1% 1/16W 0402 </t>
  </si>
  <si>
    <t>RT0402FRE07133RL</t>
  </si>
  <si>
    <t xml:space="preserve">RES SMD 22 OHM 1% 1/16W 0402 </t>
  </si>
  <si>
    <t xml:space="preserve">RC0402FR-0722RL </t>
  </si>
  <si>
    <t xml:space="preserve">RES SMD 2.1K OHM 1% 1/16W 0402 </t>
  </si>
  <si>
    <t xml:space="preserve">RT0402FRE072K1L </t>
  </si>
  <si>
    <t xml:space="preserve">RES SMD 0 OHM JUMPER 1/16W 0402 </t>
  </si>
  <si>
    <t xml:space="preserve">RC0402JR-070RL </t>
  </si>
  <si>
    <t xml:space="preserve">RES SMD 1.5K OHM 5% 1/16W 0402 </t>
  </si>
  <si>
    <t>RC0402JR-071K5L</t>
  </si>
  <si>
    <t xml:space="preserve">RES SMD 1.5K OHM 1% 1/16W 0402 </t>
  </si>
  <si>
    <t>RC0402FR-071K5L</t>
  </si>
  <si>
    <t xml:space="preserve">RES SMD 10K OHM 1% 1/16W 0402 </t>
  </si>
  <si>
    <t xml:space="preserve">RC0402FR-0710KL </t>
  </si>
  <si>
    <t xml:space="preserve">RES SMD 10 OHM 5% 1/16W 0402 </t>
  </si>
  <si>
    <t xml:space="preserve">RC0402JR-0710RL   </t>
  </si>
  <si>
    <t xml:space="preserve">RES SMD 200 OHM 5% 1/16W 0402 </t>
  </si>
  <si>
    <t xml:space="preserve">RC0402JR-07200RL </t>
  </si>
  <si>
    <t xml:space="preserve">RES SMD 4.7K OHM 5% 1/16W 0402 </t>
  </si>
  <si>
    <t xml:space="preserve">RC0402JR-074K7L </t>
  </si>
  <si>
    <t xml:space="preserve">RES SMD 100K OHM 1% 1/16W 0402 </t>
  </si>
  <si>
    <t xml:space="preserve">RC0402FR-07100KL </t>
  </si>
  <si>
    <t xml:space="preserve">RES SMD 200K OHM 1% 1/16W 0402 </t>
  </si>
  <si>
    <t xml:space="preserve">RC0402FR-07200KL </t>
  </si>
  <si>
    <t xml:space="preserve">NTC THERMISTOR 4.7K OHM 1% 0805 </t>
  </si>
  <si>
    <t>NTCS0805E3472FMT</t>
  </si>
  <si>
    <t xml:space="preserve">RES SMD 33K OHM 5% 1/16W 0402 </t>
  </si>
  <si>
    <t xml:space="preserve">RC0402JR-0733KL </t>
  </si>
  <si>
    <t xml:space="preserve">RES SMD 240 OHM 1% 1/16W 0402 </t>
  </si>
  <si>
    <t xml:space="preserve">RT0402FRE07240RL </t>
  </si>
  <si>
    <t xml:space="preserve">RES SMD 100 OHM 5% 1/16W 0402 </t>
  </si>
  <si>
    <t xml:space="preserve">RC0402JR-07100RL </t>
  </si>
  <si>
    <t xml:space="preserve">   RES SMD 82 OHM 5% 1/16W 0402  </t>
  </si>
  <si>
    <t>RC0402JR-0782RL</t>
  </si>
  <si>
    <t xml:space="preserve">RES SMD 330K OHM 5% 1/16W 0402 </t>
  </si>
  <si>
    <t xml:space="preserve">RC0402JR-07330KL </t>
  </si>
  <si>
    <t xml:space="preserve">RES SMD 4.7 OHM 1% 1/16W 0402 </t>
  </si>
  <si>
    <t xml:space="preserve">RC0402FR-074R7L </t>
  </si>
  <si>
    <t xml:space="preserve">RES SMD 120K OHM 5% 1/16W 0402 </t>
  </si>
  <si>
    <t>RC0402JR-07120KL</t>
  </si>
  <si>
    <t>Switch</t>
  </si>
  <si>
    <t>EL-6601S</t>
  </si>
  <si>
    <t>IC</t>
  </si>
  <si>
    <t>8PIN</t>
  </si>
  <si>
    <t>ATtiny45</t>
  </si>
  <si>
    <t>16PIN</t>
  </si>
  <si>
    <t>TS30012-M050QFNR</t>
  </si>
  <si>
    <t>TS30011-M050QFNR</t>
  </si>
  <si>
    <t>Hynix 4G bit 256M*16 (512MB) 96ball    96PIN</t>
  </si>
  <si>
    <t>H5TQ4G63AFR</t>
  </si>
  <si>
    <t>8GB   48PIN</t>
  </si>
  <si>
    <t>H27UCG8T2BT(Y)R</t>
  </si>
  <si>
    <t>46PIN</t>
  </si>
  <si>
    <t>RK808</t>
  </si>
  <si>
    <t>SDK fee : RMB 10,600.</t>
  </si>
  <si>
    <t>BGA316-14X14-0.65</t>
  </si>
  <si>
    <t>RK3128</t>
  </si>
  <si>
    <t>NS2016</t>
  </si>
  <si>
    <t>6PIN</t>
  </si>
  <si>
    <t>TCS5201</t>
  </si>
  <si>
    <t>Crystal</t>
  </si>
  <si>
    <t>MC-146 32.7680KA-A0:ROHS</t>
  </si>
  <si>
    <t xml:space="preserve">CRYSTAL 26MHZ 7.5PF SMD </t>
  </si>
  <si>
    <t xml:space="preserve">7V26000028 </t>
  </si>
  <si>
    <t xml:space="preserve">CRYSTAL 24MHZ 12PF SMD </t>
  </si>
  <si>
    <t xml:space="preserve">9C24000137 </t>
  </si>
  <si>
    <t>Inductors</t>
  </si>
  <si>
    <t xml:space="preserve">固定电感器 2.2uH 5.0A SMT </t>
  </si>
  <si>
    <t>46222C</t>
  </si>
  <si>
    <t>固定电感器 2.2uH 84mOhms3.0A +/-20% 2.5x2.0x1.2mm</t>
  </si>
  <si>
    <t xml:space="preserve">DFE252012P-2R2M=P2
</t>
  </si>
  <si>
    <t>SWPA3015S3R3NT/1A</t>
  </si>
  <si>
    <t>铁氧体磁珠 0603 180 OHM</t>
  </si>
  <si>
    <t>定制线圈</t>
  </si>
  <si>
    <t xml:space="preserve">FIXED IND 4.7UH 3.3A 34 MOHM SMD </t>
  </si>
  <si>
    <t>VLC5045T-4R7M</t>
  </si>
  <si>
    <t xml:space="preserve">FIXED IND 4.7UH 2A 36 MOHM SMD </t>
  </si>
  <si>
    <t xml:space="preserve">SLF7045T-4R7M2R0-PF  </t>
  </si>
  <si>
    <t xml:space="preserve">固定电感器 SMD 4.7uH 1.5amps 
</t>
  </si>
  <si>
    <t xml:space="preserve">SLF6025T-4R7M1R5-PF
</t>
  </si>
  <si>
    <t>WIFI</t>
  </si>
  <si>
    <t>2PIN插件或PCB内置</t>
  </si>
  <si>
    <t>天线</t>
  </si>
  <si>
    <t>47PIN</t>
  </si>
  <si>
    <t>AP6212</t>
  </si>
  <si>
    <t>MOSFET</t>
  </si>
  <si>
    <t>BC817-40W</t>
  </si>
  <si>
    <t>BC807-40W</t>
  </si>
  <si>
    <t>LCD</t>
  </si>
  <si>
    <t>KWH050ST19-F04</t>
  </si>
  <si>
    <t>科万宏</t>
  </si>
  <si>
    <t>Android  Blank PCB</t>
  </si>
  <si>
    <t>110mm*60mm* 1.6mm,   4 layers , Doublel-sided,FR4,Lead free,ENIG,1OZ, Solder resist colour Green , Overlay Color Yellow</t>
  </si>
  <si>
    <t>Charger  Blank PCB</t>
  </si>
  <si>
    <t>50mm*100mm *1.6mm ,  2 layers, Doublel-sided,FR4,Lead free,ENIG,1OZ, Solder resist colour Green , Overlay Color Yellow</t>
  </si>
  <si>
    <t>A</t>
  </si>
  <si>
    <t>DIRECT MATERIAL COST(HK$)</t>
  </si>
  <si>
    <t>Sensor</t>
  </si>
  <si>
    <t xml:space="preserve">CAP CER 0.1UF 25V X7R 0402 </t>
  </si>
  <si>
    <t xml:space="preserve">CC0402KRX7R8BB104 </t>
  </si>
  <si>
    <t>Humidity&amp;Tempture</t>
  </si>
  <si>
    <t>2PIN</t>
  </si>
  <si>
    <t>HIS-06--N</t>
  </si>
  <si>
    <t>Lighter Sensor</t>
  </si>
  <si>
    <t xml:space="preserve">6PIN  DIGITAL LIGHT SENSOR ADC 6ODFN </t>
  </si>
  <si>
    <t>ISL76683</t>
  </si>
  <si>
    <t>Gsensor</t>
  </si>
  <si>
    <t xml:space="preserve">10PIN  ACCELEROMETER 1.5G I2C 10DFN  </t>
  </si>
  <si>
    <t>MMA7660FC</t>
  </si>
  <si>
    <t>Camera</t>
  </si>
  <si>
    <t xml:space="preserve">  1µF  ±5%  25V  X7R  </t>
  </si>
  <si>
    <t>C0805C105J3RACTU</t>
  </si>
  <si>
    <t xml:space="preserve">多层陶瓷电容器MLCC - SMD/SMT 8pF 50volts NP0 0.5pF </t>
  </si>
  <si>
    <t xml:space="preserve">CGA2B2NP01H080D050BA
</t>
  </si>
  <si>
    <t xml:space="preserve">CONN FPC TOP 24POS 0.50MM R/A </t>
  </si>
  <si>
    <t xml:space="preserve">SFV24R-4STBE1HLF </t>
  </si>
  <si>
    <t xml:space="preserve">Camera </t>
  </si>
  <si>
    <t>640x480</t>
  </si>
  <si>
    <t>GC0308</t>
  </si>
  <si>
    <t>Audio</t>
  </si>
  <si>
    <t xml:space="preserve">MLCC - SMD/SMT 16volts 220pF X7R 5% 
</t>
  </si>
  <si>
    <t>C0402C221J4RACTU</t>
  </si>
  <si>
    <t xml:space="preserve">MLCC - SMD/SMT 0402 0.22uF 10volt X7R +/-10% </t>
  </si>
  <si>
    <t xml:space="preserve">CGA2B1X7R1A224K050BC
</t>
  </si>
  <si>
    <t>MIC</t>
  </si>
  <si>
    <t>4020带30mm线 麦克风</t>
  </si>
  <si>
    <t>RX4020L30-BC1033</t>
  </si>
  <si>
    <t>Speaker</t>
  </si>
  <si>
    <t>手机喇叭 MP4喇叭 直径15mm*厚4mm 圆形 8R 1W</t>
  </si>
  <si>
    <t xml:space="preserve">RES SMD 2.2K OHM 5% 1/16W 0402 </t>
  </si>
  <si>
    <t xml:space="preserve">RC0402JR-072K2L
</t>
  </si>
  <si>
    <t>RES SMD 47K OHM 5% 1/16W 0402</t>
  </si>
  <si>
    <t xml:space="preserve">RC0402JR-0747KL 
</t>
  </si>
  <si>
    <t xml:space="preserve">RES SMD 20K OHM 5% 1/10W 0603 </t>
  </si>
  <si>
    <t>RC0603JR-0720KL</t>
  </si>
  <si>
    <t xml:space="preserve">RES SMD 24K OHM 5% 1/16W 0402 </t>
  </si>
  <si>
    <t>RC0402JR-0724KL</t>
  </si>
  <si>
    <t>TCS7191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</si>
</sst>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"/>
    <numFmt numFmtId="177" formatCode="0.00000"/>
    <numFmt numFmtId="178" formatCode="[$-409]d\-mmm\-yy;@"/>
    <numFmt numFmtId="179" formatCode="0.0%"/>
  </numFmts>
  <fonts count="40">
    <font>
      <sz val="11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2"/>
      <name val="DengXian"/>
      <charset val="134"/>
      <scheme val="minor"/>
    </font>
    <font>
      <b/>
      <sz val="11"/>
      <name val="DengXian"/>
      <charset val="134"/>
      <scheme val="minor"/>
    </font>
    <font>
      <sz val="11"/>
      <name val="DengXian"/>
      <charset val="134"/>
      <scheme val="minor"/>
    </font>
    <font>
      <b/>
      <sz val="12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b/>
      <sz val="16"/>
      <color theme="0"/>
      <name val="DengXian"/>
      <charset val="134"/>
      <scheme val="minor"/>
    </font>
    <font>
      <b/>
      <sz val="12"/>
      <color theme="0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8"/>
      <name val="Arial"/>
      <charset val="134"/>
    </font>
    <font>
      <sz val="9"/>
      <name val="宋体"/>
      <charset val="134"/>
    </font>
    <font>
      <sz val="10"/>
      <name val="新細明體"/>
      <charset val="136"/>
    </font>
    <font>
      <sz val="10"/>
      <name val="Arial"/>
      <charset val="1"/>
    </font>
    <font>
      <sz val="10"/>
      <name val="Arial"/>
      <charset val="134"/>
    </font>
    <font>
      <sz val="11"/>
      <color indexed="8"/>
      <name val="Calibri"/>
      <charset val="1"/>
    </font>
    <font>
      <sz val="11"/>
      <color rgb="FFFF0000"/>
      <name val="DengXian (正文)"/>
      <charset val="134"/>
    </font>
    <font>
      <sz val="11"/>
      <color rgb="FFFF0000"/>
      <name val="DengXian (正文)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9"/>
        <bgColor indexed="26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21" borderId="2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24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30" fillId="10" borderId="26" applyNumberFormat="0" applyAlignment="0" applyProtection="0">
      <alignment vertical="center"/>
    </xf>
    <xf numFmtId="0" fontId="32" fillId="35" borderId="0"/>
    <xf numFmtId="0" fontId="19" fillId="14" borderId="23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0" borderId="0"/>
    <xf numFmtId="0" fontId="12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5" fillId="0" borderId="0"/>
    <xf numFmtId="0" fontId="37" fillId="0" borderId="0"/>
    <xf numFmtId="0" fontId="36" fillId="0" borderId="0"/>
    <xf numFmtId="9" fontId="36" fillId="0" borderId="0" applyFill="0" applyBorder="0" applyAlignment="0" applyProtection="0"/>
  </cellStyleXfs>
  <cellXfs count="9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54" applyFont="1" applyFill="1" applyAlignment="1">
      <alignment horizontal="right" vertical="center"/>
    </xf>
    <xf numFmtId="0" fontId="4" fillId="2" borderId="0" xfId="43" applyFont="1" applyFill="1" applyAlignment="1">
      <alignment horizontal="center" vertical="center"/>
    </xf>
    <xf numFmtId="1" fontId="5" fillId="2" borderId="0" xfId="43" applyNumberFormat="1" applyFont="1" applyFill="1" applyBorder="1" applyAlignment="1" applyProtection="1">
      <alignment horizontal="center" vertical="center"/>
      <protection locked="0"/>
    </xf>
    <xf numFmtId="14" fontId="6" fillId="2" borderId="0" xfId="0" applyNumberFormat="1" applyFont="1" applyFill="1" applyAlignment="1">
      <alignment horizontal="center" vertical="center"/>
    </xf>
    <xf numFmtId="0" fontId="5" fillId="2" borderId="0" xfId="43" applyFont="1" applyFill="1" applyAlignment="1">
      <alignment horizontal="center" vertical="center"/>
    </xf>
    <xf numFmtId="0" fontId="4" fillId="0" borderId="0" xfId="43" applyFont="1" applyFill="1" applyAlignment="1">
      <alignment horizontal="right" vertical="center"/>
    </xf>
    <xf numFmtId="178" fontId="5" fillId="2" borderId="0" xfId="52" applyNumberFormat="1" applyFont="1" applyFill="1" applyBorder="1" applyAlignment="1" applyProtection="1">
      <alignment horizontal="center" vertical="center"/>
      <protection locked="0"/>
    </xf>
    <xf numFmtId="14" fontId="5" fillId="2" borderId="0" xfId="52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1" xfId="0" applyFont="1" applyBorder="1" applyAlignment="1">
      <alignment vertical="center"/>
    </xf>
    <xf numFmtId="0" fontId="5" fillId="0" borderId="0" xfId="43" applyFont="1" applyFill="1" applyAlignment="1">
      <alignment vertical="center"/>
    </xf>
    <xf numFmtId="0" fontId="5" fillId="0" borderId="0" xfId="43" applyFont="1" applyFill="1" applyAlignment="1">
      <alignment horizontal="center" vertical="center"/>
    </xf>
    <xf numFmtId="0" fontId="5" fillId="0" borderId="0" xfId="43" applyFont="1" applyFill="1" applyBorder="1" applyAlignment="1">
      <alignment horizontal="center" vertical="center"/>
    </xf>
    <xf numFmtId="176" fontId="8" fillId="3" borderId="2" xfId="43" applyNumberFormat="1" applyFont="1" applyFill="1" applyBorder="1" applyAlignment="1">
      <alignment horizontal="center" vertical="center"/>
    </xf>
    <xf numFmtId="176" fontId="8" fillId="3" borderId="3" xfId="43" applyNumberFormat="1" applyFont="1" applyFill="1" applyBorder="1" applyAlignment="1">
      <alignment horizontal="center" vertical="center"/>
    </xf>
    <xf numFmtId="0" fontId="9" fillId="3" borderId="4" xfId="43" applyFont="1" applyFill="1" applyBorder="1" applyAlignment="1">
      <alignment horizontal="center" vertical="center" wrapText="1"/>
    </xf>
    <xf numFmtId="0" fontId="9" fillId="3" borderId="5" xfId="43" applyFont="1" applyFill="1" applyBorder="1" applyAlignment="1">
      <alignment horizontal="center" vertical="center" wrapText="1"/>
    </xf>
    <xf numFmtId="0" fontId="9" fillId="3" borderId="6" xfId="43" applyFont="1" applyFill="1" applyBorder="1" applyAlignment="1">
      <alignment horizontal="center" vertical="center" wrapText="1"/>
    </xf>
    <xf numFmtId="0" fontId="10" fillId="0" borderId="4" xfId="43" applyFont="1" applyFill="1" applyBorder="1" applyAlignment="1" applyProtection="1">
      <alignment horizontal="left" vertical="center"/>
      <protection locked="0"/>
    </xf>
    <xf numFmtId="0" fontId="0" fillId="0" borderId="7" xfId="43" applyFont="1" applyFill="1" applyBorder="1" applyAlignment="1" applyProtection="1">
      <alignment horizontal="left" vertical="center"/>
      <protection locked="0"/>
    </xf>
    <xf numFmtId="1" fontId="10" fillId="0" borderId="4" xfId="43" applyNumberFormat="1" applyFont="1" applyFill="1" applyBorder="1" applyAlignment="1" applyProtection="1">
      <alignment horizontal="left" vertical="center"/>
      <protection locked="0"/>
    </xf>
    <xf numFmtId="0" fontId="10" fillId="0" borderId="5" xfId="43" applyFont="1" applyFill="1" applyBorder="1" applyAlignment="1">
      <alignment horizontal="center" vertical="center"/>
    </xf>
    <xf numFmtId="1" fontId="10" fillId="0" borderId="8" xfId="43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Fill="1" applyBorder="1" applyAlignment="1">
      <alignment horizontal="center" vertical="center" wrapText="1"/>
    </xf>
    <xf numFmtId="0" fontId="0" fillId="0" borderId="4" xfId="43" applyFont="1" applyFill="1" applyBorder="1" applyAlignment="1" applyProtection="1">
      <alignment horizontal="left" vertical="center"/>
      <protection locked="0"/>
    </xf>
    <xf numFmtId="0" fontId="0" fillId="0" borderId="9" xfId="43" applyFont="1" applyFill="1" applyBorder="1" applyAlignment="1" applyProtection="1">
      <alignment horizontal="left" vertical="center"/>
      <protection locked="0"/>
    </xf>
    <xf numFmtId="1" fontId="0" fillId="0" borderId="4" xfId="43" applyNumberFormat="1" applyFont="1" applyFill="1" applyBorder="1" applyAlignment="1" applyProtection="1">
      <alignment horizontal="left" vertical="center"/>
      <protection locked="0"/>
    </xf>
    <xf numFmtId="0" fontId="0" fillId="0" borderId="5" xfId="43" applyFont="1" applyFill="1" applyBorder="1" applyAlignment="1">
      <alignment horizontal="center" vertical="center"/>
    </xf>
    <xf numFmtId="1" fontId="0" fillId="0" borderId="8" xfId="43" applyNumberFormat="1" applyFont="1" applyFill="1" applyBorder="1" applyAlignment="1" applyProtection="1">
      <alignment horizontal="left" vertical="center"/>
      <protection locked="0"/>
    </xf>
    <xf numFmtId="0" fontId="0" fillId="0" borderId="4" xfId="0" applyFont="1" applyFill="1" applyBorder="1" applyAlignment="1">
      <alignment horizontal="center" vertical="center" wrapText="1"/>
    </xf>
    <xf numFmtId="0" fontId="0" fillId="0" borderId="10" xfId="43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>
      <alignment horizontal="left" vertical="center"/>
    </xf>
    <xf numFmtId="0" fontId="10" fillId="0" borderId="4" xfId="43" applyFont="1" applyFill="1" applyBorder="1" applyAlignment="1">
      <alignment horizontal="left" vertical="center"/>
    </xf>
    <xf numFmtId="0" fontId="10" fillId="0" borderId="8" xfId="46" applyFont="1" applyFill="1" applyBorder="1" applyAlignment="1">
      <alignment horizontal="left" vertical="center"/>
    </xf>
    <xf numFmtId="0" fontId="0" fillId="0" borderId="8" xfId="46" applyFont="1" applyFill="1" applyBorder="1" applyAlignment="1">
      <alignment horizontal="left" vertical="center"/>
    </xf>
    <xf numFmtId="0" fontId="0" fillId="0" borderId="4" xfId="43" applyFont="1" applyFill="1" applyBorder="1" applyAlignment="1">
      <alignment horizontal="left" vertical="center"/>
    </xf>
    <xf numFmtId="1" fontId="0" fillId="0" borderId="4" xfId="43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center"/>
    </xf>
    <xf numFmtId="0" fontId="4" fillId="0" borderId="11" xfId="43" applyFont="1" applyFill="1" applyBorder="1" applyAlignment="1">
      <alignment horizontal="center" vertical="center"/>
    </xf>
    <xf numFmtId="0" fontId="4" fillId="0" borderId="0" xfId="26" applyNumberFormat="1" applyFont="1" applyFill="1" applyBorder="1" applyAlignment="1">
      <alignment horizontal="left" vertical="center"/>
    </xf>
    <xf numFmtId="0" fontId="9" fillId="3" borderId="12" xfId="43" applyFont="1" applyFill="1" applyBorder="1" applyAlignment="1">
      <alignment horizontal="center" vertical="center" wrapText="1"/>
    </xf>
    <xf numFmtId="38" fontId="9" fillId="3" borderId="6" xfId="43" applyNumberFormat="1" applyFont="1" applyFill="1" applyBorder="1" applyAlignment="1">
      <alignment horizontal="center" vertical="center" wrapText="1"/>
    </xf>
    <xf numFmtId="176" fontId="9" fillId="3" borderId="6" xfId="43" applyNumberFormat="1" applyFont="1" applyFill="1" applyBorder="1" applyAlignment="1">
      <alignment horizontal="center" vertical="center" wrapText="1"/>
    </xf>
    <xf numFmtId="0" fontId="10" fillId="0" borderId="4" xfId="43" applyFont="1" applyFill="1" applyBorder="1" applyAlignment="1">
      <alignment horizontal="center" vertical="center"/>
    </xf>
    <xf numFmtId="0" fontId="10" fillId="0" borderId="13" xfId="26" applyNumberFormat="1" applyFont="1" applyFill="1" applyBorder="1" applyAlignment="1">
      <alignment horizontal="center" vertical="center"/>
    </xf>
    <xf numFmtId="176" fontId="10" fillId="0" borderId="14" xfId="26" applyNumberFormat="1" applyFont="1" applyFill="1" applyBorder="1" applyAlignment="1">
      <alignment horizontal="center" vertical="center"/>
    </xf>
    <xf numFmtId="0" fontId="10" fillId="0" borderId="14" xfId="26" applyNumberFormat="1" applyFont="1" applyFill="1" applyBorder="1" applyAlignment="1">
      <alignment horizontal="center" vertical="center"/>
    </xf>
    <xf numFmtId="176" fontId="10" fillId="0" borderId="14" xfId="46" applyNumberFormat="1" applyFont="1" applyFill="1" applyBorder="1" applyAlignment="1">
      <alignment horizontal="center" vertical="center" wrapText="1"/>
    </xf>
    <xf numFmtId="0" fontId="0" fillId="0" borderId="4" xfId="43" applyFont="1" applyFill="1" applyBorder="1" applyAlignment="1">
      <alignment horizontal="center" vertical="center"/>
    </xf>
    <xf numFmtId="0" fontId="0" fillId="0" borderId="13" xfId="26" applyNumberFormat="1" applyFont="1" applyFill="1" applyBorder="1" applyAlignment="1">
      <alignment horizontal="center" vertical="center"/>
    </xf>
    <xf numFmtId="176" fontId="0" fillId="0" borderId="14" xfId="26" applyNumberFormat="1" applyFont="1" applyFill="1" applyBorder="1" applyAlignment="1">
      <alignment horizontal="center" vertical="center"/>
    </xf>
    <xf numFmtId="0" fontId="0" fillId="0" borderId="14" xfId="26" applyNumberFormat="1" applyFont="1" applyFill="1" applyBorder="1" applyAlignment="1">
      <alignment horizontal="center" vertical="center"/>
    </xf>
    <xf numFmtId="176" fontId="5" fillId="0" borderId="14" xfId="46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176" fontId="10" fillId="0" borderId="14" xfId="0" applyNumberFormat="1" applyFont="1" applyFill="1" applyBorder="1" applyAlignment="1">
      <alignment horizontal="center" vertical="center" wrapText="1"/>
    </xf>
    <xf numFmtId="0" fontId="10" fillId="0" borderId="14" xfId="46" applyFont="1" applyFill="1" applyBorder="1" applyAlignment="1">
      <alignment horizontal="center" vertical="center" wrapText="1"/>
    </xf>
    <xf numFmtId="0" fontId="10" fillId="0" borderId="4" xfId="46" applyFont="1" applyFill="1" applyBorder="1" applyAlignment="1">
      <alignment horizontal="center" vertical="center" wrapText="1"/>
    </xf>
    <xf numFmtId="0" fontId="10" fillId="0" borderId="13" xfId="46" applyFont="1" applyFill="1" applyBorder="1" applyAlignment="1">
      <alignment horizontal="center" vertical="center" wrapText="1"/>
    </xf>
    <xf numFmtId="0" fontId="0" fillId="0" borderId="4" xfId="46" applyFont="1" applyFill="1" applyBorder="1" applyAlignment="1">
      <alignment horizontal="center" vertical="center" wrapText="1"/>
    </xf>
    <xf numFmtId="0" fontId="0" fillId="0" borderId="13" xfId="46" applyFont="1" applyFill="1" applyBorder="1" applyAlignment="1">
      <alignment horizontal="center" vertical="center" wrapText="1"/>
    </xf>
    <xf numFmtId="0" fontId="0" fillId="0" borderId="14" xfId="46" applyFont="1" applyFill="1" applyBorder="1" applyAlignment="1">
      <alignment horizontal="center" vertical="center" wrapText="1"/>
    </xf>
    <xf numFmtId="176" fontId="0" fillId="0" borderId="14" xfId="46" applyNumberFormat="1" applyFont="1" applyFill="1" applyBorder="1" applyAlignment="1">
      <alignment horizontal="center" vertical="center" wrapText="1"/>
    </xf>
    <xf numFmtId="176" fontId="5" fillId="0" borderId="0" xfId="43" applyNumberFormat="1" applyFont="1" applyFill="1" applyBorder="1" applyAlignment="1">
      <alignment horizontal="center" vertical="center"/>
    </xf>
    <xf numFmtId="0" fontId="5" fillId="0" borderId="15" xfId="43" applyFont="1" applyFill="1" applyBorder="1" applyAlignment="1">
      <alignment horizontal="center" vertical="center"/>
    </xf>
    <xf numFmtId="176" fontId="5" fillId="0" borderId="6" xfId="43" applyNumberFormat="1" applyFont="1" applyFill="1" applyBorder="1" applyAlignment="1">
      <alignment horizontal="center" vertical="center"/>
    </xf>
    <xf numFmtId="176" fontId="8" fillId="3" borderId="16" xfId="43" applyNumberFormat="1" applyFont="1" applyFill="1" applyBorder="1" applyAlignment="1">
      <alignment horizontal="center" vertical="center"/>
    </xf>
    <xf numFmtId="176" fontId="9" fillId="3" borderId="17" xfId="43" applyNumberFormat="1" applyFont="1" applyFill="1" applyBorder="1" applyAlignment="1">
      <alignment horizontal="center" vertical="center" wrapText="1"/>
    </xf>
    <xf numFmtId="176" fontId="9" fillId="3" borderId="18" xfId="43" applyNumberFormat="1" applyFont="1" applyFill="1" applyBorder="1" applyAlignment="1">
      <alignment horizontal="center" vertical="center" wrapText="1"/>
    </xf>
    <xf numFmtId="176" fontId="9" fillId="3" borderId="19" xfId="43" applyNumberFormat="1" applyFont="1" applyFill="1" applyBorder="1" applyAlignment="1">
      <alignment horizontal="center" vertical="center" wrapText="1"/>
    </xf>
    <xf numFmtId="9" fontId="10" fillId="0" borderId="4" xfId="26" applyNumberFormat="1" applyFont="1" applyFill="1" applyBorder="1" applyAlignment="1">
      <alignment horizontal="center" vertical="center"/>
    </xf>
    <xf numFmtId="9" fontId="10" fillId="0" borderId="13" xfId="26" applyNumberFormat="1" applyFont="1" applyFill="1" applyBorder="1" applyAlignment="1">
      <alignment horizontal="center" vertical="center"/>
    </xf>
    <xf numFmtId="9" fontId="5" fillId="0" borderId="4" xfId="26" applyNumberFormat="1" applyFont="1" applyFill="1" applyBorder="1" applyAlignment="1">
      <alignment horizontal="center" vertical="center"/>
    </xf>
    <xf numFmtId="9" fontId="5" fillId="0" borderId="13" xfId="26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179" fontId="5" fillId="0" borderId="13" xfId="0" applyNumberFormat="1" applyFont="1" applyFill="1" applyBorder="1" applyAlignment="1">
      <alignment horizontal="center" vertical="center" wrapText="1"/>
    </xf>
    <xf numFmtId="9" fontId="0" fillId="0" borderId="4" xfId="26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 wrapText="1"/>
    </xf>
    <xf numFmtId="179" fontId="0" fillId="0" borderId="13" xfId="0" applyNumberFormat="1" applyFont="1" applyFill="1" applyBorder="1" applyAlignment="1">
      <alignment horizontal="center" vertical="center" wrapText="1"/>
    </xf>
    <xf numFmtId="9" fontId="5" fillId="0" borderId="0" xfId="43" applyNumberFormat="1" applyFont="1" applyFill="1" applyBorder="1" applyAlignment="1">
      <alignment horizontal="center" vertical="center"/>
    </xf>
    <xf numFmtId="177" fontId="0" fillId="0" borderId="14" xfId="26" applyNumberFormat="1" applyFont="1" applyFill="1" applyBorder="1" applyAlignment="1">
      <alignment horizontal="center" vertical="center"/>
    </xf>
    <xf numFmtId="177" fontId="10" fillId="0" borderId="14" xfId="26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0" fillId="0" borderId="7" xfId="43" applyFont="1" applyFill="1" applyBorder="1" applyAlignment="1" applyProtection="1">
      <alignment horizontal="left" vertical="center"/>
      <protection locked="0"/>
    </xf>
    <xf numFmtId="0" fontId="10" fillId="0" borderId="9" xfId="43" applyFont="1" applyFill="1" applyBorder="1" applyAlignment="1" applyProtection="1">
      <alignment horizontal="left" vertical="center"/>
      <protection locked="0"/>
    </xf>
    <xf numFmtId="176" fontId="10" fillId="0" borderId="20" xfId="26" applyNumberFormat="1" applyFont="1" applyFill="1" applyBorder="1" applyAlignment="1">
      <alignment horizontal="center" vertical="center"/>
    </xf>
    <xf numFmtId="176" fontId="10" fillId="0" borderId="21" xfId="26" applyNumberFormat="1" applyFont="1" applyFill="1" applyBorder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Normal_MADONNAMKOREA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Excel Built-in Normal 2" xfId="52"/>
    <cellStyle name="Normal 5" xfId="53"/>
    <cellStyle name="Normal 5 2" xfId="54"/>
    <cellStyle name="Percent 2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93"/>
  <sheetViews>
    <sheetView tabSelected="1" topLeftCell="A9" workbookViewId="0">
      <selection activeCell="C16" sqref="C16"/>
    </sheetView>
  </sheetViews>
  <sheetFormatPr defaultColWidth="8.83333333333333" defaultRowHeight="15.6"/>
  <cols>
    <col min="1" max="1" width="5.16666666666667" style="3" customWidth="1"/>
    <col min="2" max="2" width="24.8333333333333" style="3" customWidth="1"/>
    <col min="3" max="3" width="13.6666666666667" style="3" customWidth="1"/>
    <col min="4" max="4" width="23.5555555555556" style="3" customWidth="1"/>
    <col min="5" max="5" width="10.8333333333333" style="4" customWidth="1"/>
    <col min="6" max="6" width="10.8333333333333" style="5" customWidth="1"/>
    <col min="7" max="7" width="10.2222222222222" style="6" customWidth="1"/>
    <col min="8" max="8" width="11.7777777777778" style="5" customWidth="1"/>
    <col min="9" max="9" width="13" style="5" customWidth="1"/>
    <col min="10" max="10" width="7.33333333333333" style="7" customWidth="1"/>
    <col min="11" max="11" width="7.33333333333333" style="5" customWidth="1"/>
    <col min="12" max="12" width="5.83333333333333" style="5" customWidth="1"/>
    <col min="13" max="13" width="6.66666666666667" style="5" customWidth="1"/>
    <col min="14" max="14" width="11.8333333333333" style="5" customWidth="1"/>
    <col min="15" max="15" width="6.66666666666667" style="5" customWidth="1"/>
    <col min="16" max="16" width="12.3333333333333" style="8" customWidth="1"/>
    <col min="17" max="19" width="4.66666666666667" style="9" customWidth="1"/>
    <col min="20" max="16384" width="8.83333333333333" style="10"/>
  </cols>
  <sheetData>
    <row r="1" ht="13.8" spans="1:3">
      <c r="A1" s="11" t="s">
        <v>0</v>
      </c>
      <c r="B1" s="11"/>
      <c r="C1" s="12" t="s">
        <v>1</v>
      </c>
    </row>
    <row r="2" ht="13.8" spans="1:3">
      <c r="A2" s="11" t="s">
        <v>2</v>
      </c>
      <c r="B2" s="11"/>
      <c r="C2" s="13"/>
    </row>
    <row r="3" spans="1:3">
      <c r="A3" s="11" t="s">
        <v>3</v>
      </c>
      <c r="B3" s="11"/>
      <c r="C3" s="14" t="s">
        <v>4</v>
      </c>
    </row>
    <row r="4" ht="13.8" spans="1:3">
      <c r="A4" s="11" t="s">
        <v>5</v>
      </c>
      <c r="B4" s="11"/>
      <c r="C4" s="15"/>
    </row>
    <row r="5" ht="13.8" spans="1:3">
      <c r="A5" s="16" t="s">
        <v>6</v>
      </c>
      <c r="B5" s="16"/>
      <c r="C5" s="17"/>
    </row>
    <row r="6" ht="14.55" spans="1:19">
      <c r="A6" s="16"/>
      <c r="B6" s="16" t="s">
        <v>7</v>
      </c>
      <c r="C6" s="18"/>
      <c r="D6" s="19" t="s">
        <v>8</v>
      </c>
      <c r="E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ht="21.15" spans="1:19">
      <c r="A7" s="22"/>
      <c r="B7" s="23"/>
      <c r="C7" s="23"/>
      <c r="D7" s="22"/>
      <c r="E7" s="22"/>
      <c r="F7" s="24"/>
      <c r="G7" s="25" t="s">
        <v>9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78"/>
    </row>
    <row r="8" s="1" customFormat="1" ht="53" customHeight="1" spans="1:19">
      <c r="A8" s="27" t="s">
        <v>10</v>
      </c>
      <c r="B8" s="27" t="s">
        <v>11</v>
      </c>
      <c r="C8" s="27" t="s">
        <v>12</v>
      </c>
      <c r="D8" s="27" t="s">
        <v>13</v>
      </c>
      <c r="E8" s="27" t="s">
        <v>14</v>
      </c>
      <c r="F8" s="28" t="s">
        <v>15</v>
      </c>
      <c r="G8" s="29" t="s">
        <v>16</v>
      </c>
      <c r="H8" s="29" t="s">
        <v>17</v>
      </c>
      <c r="I8" s="29" t="s">
        <v>18</v>
      </c>
      <c r="J8" s="52" t="s">
        <v>19</v>
      </c>
      <c r="K8" s="29" t="s">
        <v>20</v>
      </c>
      <c r="L8" s="53" t="s">
        <v>21</v>
      </c>
      <c r="M8" s="29" t="s">
        <v>22</v>
      </c>
      <c r="N8" s="29" t="s">
        <v>23</v>
      </c>
      <c r="O8" s="29" t="s">
        <v>24</v>
      </c>
      <c r="P8" s="54" t="s">
        <v>25</v>
      </c>
      <c r="Q8" s="79" t="s">
        <v>26</v>
      </c>
      <c r="R8" s="80"/>
      <c r="S8" s="81"/>
    </row>
    <row r="9" s="94" customFormat="1" spans="1:19">
      <c r="A9" s="30"/>
      <c r="B9" s="95" t="s">
        <v>27</v>
      </c>
      <c r="C9" s="30" t="s">
        <v>28</v>
      </c>
      <c r="D9" s="30"/>
      <c r="E9" s="32"/>
      <c r="F9" s="33"/>
      <c r="G9" s="34" t="s">
        <v>29</v>
      </c>
      <c r="H9" s="35"/>
      <c r="I9" s="35"/>
      <c r="J9" s="55"/>
      <c r="K9" s="55"/>
      <c r="L9" s="55"/>
      <c r="M9" s="56"/>
      <c r="N9" s="57">
        <f>0.12*7.83+((320+700)+130*1.2)/1013700</f>
        <v>0.940760106540397</v>
      </c>
      <c r="O9" s="58">
        <v>4</v>
      </c>
      <c r="P9" s="59">
        <f t="shared" ref="P9:P12" si="0">N9*O9</f>
        <v>3.76304042616159</v>
      </c>
      <c r="Q9" s="82"/>
      <c r="R9" s="82"/>
      <c r="S9" s="83"/>
    </row>
    <row r="10" s="2" customFormat="1" spans="1:19">
      <c r="A10" s="30"/>
      <c r="B10" s="37"/>
      <c r="C10" s="30" t="s">
        <v>30</v>
      </c>
      <c r="D10" s="30"/>
      <c r="E10" s="32"/>
      <c r="F10" s="33"/>
      <c r="G10" s="34" t="s">
        <v>31</v>
      </c>
      <c r="H10" s="35"/>
      <c r="I10" s="35" t="s">
        <v>32</v>
      </c>
      <c r="J10" s="55"/>
      <c r="K10" s="55"/>
      <c r="L10" s="55"/>
      <c r="M10" s="56"/>
      <c r="N10" s="57"/>
      <c r="O10" s="58">
        <v>6</v>
      </c>
      <c r="P10" s="59">
        <f t="shared" ref="P10" si="1">N10*O10</f>
        <v>0</v>
      </c>
      <c r="Q10" s="82"/>
      <c r="R10" s="82"/>
      <c r="S10" s="83"/>
    </row>
    <row r="11" s="2" customFormat="1" spans="1:19">
      <c r="A11" s="30"/>
      <c r="B11" s="37"/>
      <c r="C11" s="30" t="s">
        <v>33</v>
      </c>
      <c r="D11" s="30"/>
      <c r="E11" s="32"/>
      <c r="F11" s="33"/>
      <c r="G11" s="34" t="s">
        <v>34</v>
      </c>
      <c r="H11" s="35"/>
      <c r="I11" s="35" t="s">
        <v>32</v>
      </c>
      <c r="J11" s="55"/>
      <c r="K11" s="55"/>
      <c r="L11" s="55"/>
      <c r="M11" s="56"/>
      <c r="N11" s="57">
        <f>0.2/0.83+((320+700)+130*1.2)/1013700</f>
        <v>0.242123961962083</v>
      </c>
      <c r="O11" s="58">
        <v>2</v>
      </c>
      <c r="P11" s="59">
        <f t="shared" si="0"/>
        <v>0.484247923924167</v>
      </c>
      <c r="Q11" s="82"/>
      <c r="R11" s="82"/>
      <c r="S11" s="83"/>
    </row>
    <row r="12" s="2" customFormat="1" spans="1:19">
      <c r="A12" s="30"/>
      <c r="B12" s="37"/>
      <c r="C12" s="30" t="s">
        <v>35</v>
      </c>
      <c r="D12" s="30"/>
      <c r="E12" s="32"/>
      <c r="F12" s="33"/>
      <c r="G12" s="34" t="s">
        <v>36</v>
      </c>
      <c r="H12" s="35"/>
      <c r="I12" s="35" t="s">
        <v>32</v>
      </c>
      <c r="J12" s="55"/>
      <c r="K12" s="55"/>
      <c r="L12" s="55"/>
      <c r="M12" s="56"/>
      <c r="N12" s="57">
        <f>0.2/0.83+((320+700)+130*1.2)/1013700</f>
        <v>0.242123961962083</v>
      </c>
      <c r="O12" s="58">
        <v>12</v>
      </c>
      <c r="P12" s="59">
        <f t="shared" si="0"/>
        <v>2.905487543545</v>
      </c>
      <c r="Q12" s="82"/>
      <c r="R12" s="82"/>
      <c r="S12" s="83"/>
    </row>
    <row r="13" s="94" customFormat="1" spans="1:19">
      <c r="A13" s="30"/>
      <c r="B13" s="96"/>
      <c r="C13" s="30" t="s">
        <v>37</v>
      </c>
      <c r="D13" s="30"/>
      <c r="E13" s="32"/>
      <c r="F13" s="33"/>
      <c r="G13" s="34" t="s">
        <v>38</v>
      </c>
      <c r="H13" s="35"/>
      <c r="I13" s="35" t="s">
        <v>32</v>
      </c>
      <c r="J13" s="55"/>
      <c r="K13" s="55"/>
      <c r="L13" s="55"/>
      <c r="M13" s="56"/>
      <c r="N13" s="57">
        <f>0.2*7.83+((320+700)+130*1.2)/1013700</f>
        <v>1.5671601065404</v>
      </c>
      <c r="O13" s="58">
        <v>1</v>
      </c>
      <c r="P13" s="59">
        <f t="shared" ref="P13:P14" si="2">N13*O13</f>
        <v>1.5671601065404</v>
      </c>
      <c r="Q13" s="82"/>
      <c r="R13" s="82"/>
      <c r="S13" s="83"/>
    </row>
    <row r="14" s="94" customFormat="1" spans="1:19">
      <c r="A14" s="30"/>
      <c r="B14" s="96"/>
      <c r="C14" s="30" t="s">
        <v>39</v>
      </c>
      <c r="D14" s="30"/>
      <c r="E14" s="32"/>
      <c r="F14" s="33"/>
      <c r="G14" s="34" t="s">
        <v>40</v>
      </c>
      <c r="H14" s="35"/>
      <c r="I14" s="35" t="s">
        <v>32</v>
      </c>
      <c r="J14" s="55"/>
      <c r="K14" s="55"/>
      <c r="L14" s="55"/>
      <c r="M14" s="56"/>
      <c r="N14" s="57">
        <f>0.001*7.83+((320+700)+130*1.2)/1013700</f>
        <v>0.00899010654039657</v>
      </c>
      <c r="O14" s="58">
        <v>48</v>
      </c>
      <c r="P14" s="59">
        <f t="shared" si="2"/>
        <v>0.431525113939035</v>
      </c>
      <c r="Q14" s="82"/>
      <c r="R14" s="82"/>
      <c r="S14" s="83"/>
    </row>
    <row r="15" s="94" customFormat="1" spans="1:19">
      <c r="A15" s="30"/>
      <c r="B15" s="96"/>
      <c r="C15" s="30" t="s">
        <v>41</v>
      </c>
      <c r="D15" s="30"/>
      <c r="E15" s="32"/>
      <c r="F15" s="33"/>
      <c r="G15" s="34" t="s">
        <v>42</v>
      </c>
      <c r="H15" s="35"/>
      <c r="I15" s="35" t="s">
        <v>32</v>
      </c>
      <c r="J15" s="55"/>
      <c r="K15" s="55"/>
      <c r="L15" s="55"/>
      <c r="M15" s="56"/>
      <c r="N15" s="57">
        <f>0.001*7.83+((320+700)+130*1.2)/1013700</f>
        <v>0.00899010654039657</v>
      </c>
      <c r="O15" s="58">
        <v>3</v>
      </c>
      <c r="P15" s="59">
        <f t="shared" ref="P15:P75" si="3">N15*O15</f>
        <v>0.0269703196211897</v>
      </c>
      <c r="Q15" s="82"/>
      <c r="R15" s="82"/>
      <c r="S15" s="83"/>
    </row>
    <row r="16" s="94" customFormat="1" spans="1:19">
      <c r="A16" s="30"/>
      <c r="B16" s="96"/>
      <c r="C16" s="30" t="s">
        <v>43</v>
      </c>
      <c r="D16" s="30"/>
      <c r="E16" s="32"/>
      <c r="F16" s="33"/>
      <c r="G16" s="34" t="s">
        <v>44</v>
      </c>
      <c r="H16" s="35"/>
      <c r="I16" s="35" t="s">
        <v>32</v>
      </c>
      <c r="J16" s="55"/>
      <c r="K16" s="55"/>
      <c r="L16" s="55"/>
      <c r="M16" s="56"/>
      <c r="N16" s="57">
        <f>0.0012*7.83+((320+700)+130*1.2)/1013700</f>
        <v>0.0105561065403966</v>
      </c>
      <c r="O16" s="58">
        <v>6</v>
      </c>
      <c r="P16" s="59">
        <f t="shared" si="3"/>
        <v>0.0633366392423794</v>
      </c>
      <c r="Q16" s="82"/>
      <c r="R16" s="82"/>
      <c r="S16" s="83"/>
    </row>
    <row r="17" s="94" customFormat="1" ht="13.8" spans="1:19">
      <c r="A17" s="30"/>
      <c r="B17" s="96"/>
      <c r="C17" s="30" t="s">
        <v>45</v>
      </c>
      <c r="D17" s="30"/>
      <c r="E17" s="32"/>
      <c r="F17" s="33"/>
      <c r="G17" s="34" t="s">
        <v>46</v>
      </c>
      <c r="H17" s="35"/>
      <c r="I17" s="35"/>
      <c r="J17" s="55"/>
      <c r="K17" s="55"/>
      <c r="L17" s="55"/>
      <c r="M17" s="56"/>
      <c r="N17" s="57">
        <f>0.0388*7.83+((320+700)+130*1.2)/1013700</f>
        <v>0.304964106540397</v>
      </c>
      <c r="O17" s="58">
        <v>2</v>
      </c>
      <c r="P17" s="59">
        <f t="shared" si="3"/>
        <v>0.609928213080793</v>
      </c>
      <c r="Q17" s="82"/>
      <c r="R17" s="82"/>
      <c r="S17" s="83"/>
    </row>
    <row r="18" spans="1:19">
      <c r="A18" s="36"/>
      <c r="B18" s="37"/>
      <c r="C18" s="36" t="s">
        <v>47</v>
      </c>
      <c r="D18" s="36"/>
      <c r="E18" s="38"/>
      <c r="F18" s="39"/>
      <c r="G18" s="40" t="s">
        <v>48</v>
      </c>
      <c r="H18" s="41"/>
      <c r="I18" s="41"/>
      <c r="J18" s="60"/>
      <c r="K18" s="60"/>
      <c r="L18" s="60"/>
      <c r="M18" s="61"/>
      <c r="N18" s="62">
        <f>0.143*7.83+((320+700)+130*1.2)/1013700</f>
        <v>1.1208501065404</v>
      </c>
      <c r="O18" s="63">
        <v>9</v>
      </c>
      <c r="P18" s="64">
        <f t="shared" si="3"/>
        <v>10.0876509588636</v>
      </c>
      <c r="Q18" s="84"/>
      <c r="R18" s="84"/>
      <c r="S18" s="85"/>
    </row>
    <row r="19" s="94" customFormat="1" spans="1:19">
      <c r="A19" s="30"/>
      <c r="B19" s="96"/>
      <c r="C19" s="30" t="s">
        <v>49</v>
      </c>
      <c r="D19" s="30"/>
      <c r="E19" s="32"/>
      <c r="F19" s="33"/>
      <c r="G19" s="34" t="s">
        <v>50</v>
      </c>
      <c r="H19" s="35"/>
      <c r="I19" s="35"/>
      <c r="J19" s="55"/>
      <c r="K19" s="55"/>
      <c r="L19" s="55"/>
      <c r="M19" s="56"/>
      <c r="N19" s="57">
        <f>0.22*7.83+((320+700)+130*1.2)/1013700</f>
        <v>1.7237601065404</v>
      </c>
      <c r="O19" s="58">
        <v>5</v>
      </c>
      <c r="P19" s="59">
        <f t="shared" si="3"/>
        <v>8.61880053270198</v>
      </c>
      <c r="Q19" s="82"/>
      <c r="R19" s="82"/>
      <c r="S19" s="83"/>
    </row>
    <row r="20" spans="1:19">
      <c r="A20" s="36"/>
      <c r="B20" s="37"/>
      <c r="C20" s="36" t="s">
        <v>51</v>
      </c>
      <c r="D20" s="36"/>
      <c r="E20" s="38"/>
      <c r="F20" s="39"/>
      <c r="G20" s="40" t="s">
        <v>52</v>
      </c>
      <c r="H20" s="41"/>
      <c r="I20" s="41"/>
      <c r="J20" s="60"/>
      <c r="K20" s="60"/>
      <c r="L20" s="60"/>
      <c r="M20" s="61"/>
      <c r="N20" s="62">
        <f>0.22*7.83+((320+700)+130*1.2)/1013700</f>
        <v>1.7237601065404</v>
      </c>
      <c r="O20" s="63">
        <v>1</v>
      </c>
      <c r="P20" s="64">
        <f t="shared" si="3"/>
        <v>1.7237601065404</v>
      </c>
      <c r="Q20" s="84"/>
      <c r="R20" s="84"/>
      <c r="S20" s="85"/>
    </row>
    <row r="21" ht="13.8" spans="1:19">
      <c r="A21" s="36"/>
      <c r="B21" s="37"/>
      <c r="C21" s="36" t="s">
        <v>53</v>
      </c>
      <c r="D21" s="36"/>
      <c r="E21" s="38"/>
      <c r="F21" s="39"/>
      <c r="G21" s="40" t="s">
        <v>54</v>
      </c>
      <c r="H21" s="41"/>
      <c r="I21" s="41"/>
      <c r="J21" s="60"/>
      <c r="K21" s="60"/>
      <c r="L21" s="60"/>
      <c r="M21" s="61"/>
      <c r="N21" s="62">
        <f>0.01*7.83+((320+700)+130*1.2)/1013700</f>
        <v>0.0794601065403966</v>
      </c>
      <c r="O21" s="63">
        <v>10</v>
      </c>
      <c r="P21" s="64">
        <f t="shared" si="3"/>
        <v>0.794601065403966</v>
      </c>
      <c r="Q21" s="84"/>
      <c r="R21" s="84"/>
      <c r="S21" s="85"/>
    </row>
    <row r="22" ht="13.8" spans="1:19">
      <c r="A22" s="36"/>
      <c r="B22" s="37"/>
      <c r="C22" s="36" t="s">
        <v>55</v>
      </c>
      <c r="D22" s="36"/>
      <c r="E22" s="38"/>
      <c r="F22" s="39"/>
      <c r="G22" s="40" t="s">
        <v>56</v>
      </c>
      <c r="H22" s="41"/>
      <c r="I22" s="41"/>
      <c r="J22" s="60"/>
      <c r="K22" s="60"/>
      <c r="L22" s="60"/>
      <c r="M22" s="61"/>
      <c r="N22" s="62">
        <f>0.05*7.83+((320+700)+130*1.2)/1013700</f>
        <v>0.392660106540397</v>
      </c>
      <c r="O22" s="63">
        <v>25</v>
      </c>
      <c r="P22" s="64">
        <f t="shared" si="3"/>
        <v>9.81650266350991</v>
      </c>
      <c r="Q22" s="84"/>
      <c r="R22" s="84"/>
      <c r="S22" s="85"/>
    </row>
    <row r="23" ht="13.8" spans="1:19">
      <c r="A23" s="36"/>
      <c r="B23" s="37"/>
      <c r="C23" s="36" t="s">
        <v>57</v>
      </c>
      <c r="D23" s="36"/>
      <c r="E23" s="38"/>
      <c r="F23" s="39"/>
      <c r="G23" s="40" t="s">
        <v>58</v>
      </c>
      <c r="H23" s="41"/>
      <c r="I23" s="41"/>
      <c r="J23" s="60"/>
      <c r="K23" s="60"/>
      <c r="L23" s="60"/>
      <c r="M23" s="61"/>
      <c r="N23" s="62">
        <f>0.004*7.83+((320+700)+130*1.2)/1013700</f>
        <v>0.0324801065403966</v>
      </c>
      <c r="O23" s="63">
        <v>1</v>
      </c>
      <c r="P23" s="64">
        <f t="shared" si="3"/>
        <v>0.0324801065403966</v>
      </c>
      <c r="Q23" s="84"/>
      <c r="R23" s="84"/>
      <c r="S23" s="85"/>
    </row>
    <row r="24" spans="1:19">
      <c r="A24" s="36"/>
      <c r="B24" s="37"/>
      <c r="C24" s="36" t="s">
        <v>59</v>
      </c>
      <c r="D24" s="36"/>
      <c r="E24" s="38"/>
      <c r="F24" s="39"/>
      <c r="G24" s="40" t="s">
        <v>60</v>
      </c>
      <c r="H24" s="41"/>
      <c r="I24" s="41"/>
      <c r="J24" s="60"/>
      <c r="K24" s="60"/>
      <c r="L24" s="60"/>
      <c r="M24" s="61"/>
      <c r="N24" s="62">
        <f>0.143*7.83+((320+700)+130*1.2)/1013700</f>
        <v>1.1208501065404</v>
      </c>
      <c r="O24" s="63">
        <v>2</v>
      </c>
      <c r="P24" s="64">
        <f t="shared" si="3"/>
        <v>2.24170021308079</v>
      </c>
      <c r="Q24" s="84"/>
      <c r="R24" s="84"/>
      <c r="S24" s="85"/>
    </row>
    <row r="25" ht="13.8" spans="1:19">
      <c r="A25" s="36"/>
      <c r="B25" s="37"/>
      <c r="C25" s="36" t="s">
        <v>61</v>
      </c>
      <c r="D25" s="36"/>
      <c r="E25" s="38"/>
      <c r="F25" s="39"/>
      <c r="G25" s="40" t="s">
        <v>62</v>
      </c>
      <c r="H25" s="41"/>
      <c r="I25" s="41"/>
      <c r="J25" s="60"/>
      <c r="K25" s="60"/>
      <c r="L25" s="60"/>
      <c r="M25" s="61"/>
      <c r="N25" s="62">
        <f>0.143*7.83+((320+700)+130*1.2)/1013700</f>
        <v>1.1208501065404</v>
      </c>
      <c r="O25" s="63">
        <v>1</v>
      </c>
      <c r="P25" s="64">
        <f t="shared" si="3"/>
        <v>1.1208501065404</v>
      </c>
      <c r="Q25" s="84"/>
      <c r="R25" s="84"/>
      <c r="S25" s="85"/>
    </row>
    <row r="26" spans="1:19">
      <c r="A26" s="36"/>
      <c r="B26" s="37"/>
      <c r="C26" s="36"/>
      <c r="D26" s="36"/>
      <c r="E26" s="38"/>
      <c r="F26" s="39"/>
      <c r="G26" s="40" t="s">
        <v>63</v>
      </c>
      <c r="H26" s="41"/>
      <c r="I26" s="41"/>
      <c r="J26" s="60"/>
      <c r="K26" s="60"/>
      <c r="L26" s="60"/>
      <c r="M26" s="61"/>
      <c r="N26" s="62">
        <f>0.0836*7.83+((320+700)+130*1.2)/1013700</f>
        <v>0.655748106540397</v>
      </c>
      <c r="O26" s="63">
        <v>2</v>
      </c>
      <c r="P26" s="64">
        <f t="shared" si="3"/>
        <v>1.31149621308079</v>
      </c>
      <c r="Q26" s="84"/>
      <c r="R26" s="84"/>
      <c r="S26" s="85"/>
    </row>
    <row r="27" ht="13.8" spans="1:19">
      <c r="A27" s="36"/>
      <c r="B27" s="37"/>
      <c r="C27" s="36"/>
      <c r="D27" s="36"/>
      <c r="E27" s="38"/>
      <c r="F27" s="39"/>
      <c r="G27" s="40" t="s">
        <v>64</v>
      </c>
      <c r="H27" s="41"/>
      <c r="I27" s="41"/>
      <c r="J27" s="60"/>
      <c r="K27" s="60"/>
      <c r="L27" s="60"/>
      <c r="M27" s="61"/>
      <c r="N27" s="62">
        <f>0.0023*7.83+((320+700)+130*1.2)/1013700</f>
        <v>0.0191691065403966</v>
      </c>
      <c r="O27" s="63">
        <v>3</v>
      </c>
      <c r="P27" s="64">
        <f t="shared" si="3"/>
        <v>0.0575073196211897</v>
      </c>
      <c r="Q27" s="84"/>
      <c r="R27" s="84"/>
      <c r="S27" s="85"/>
    </row>
    <row r="28" ht="13.8" spans="1:19">
      <c r="A28" s="36"/>
      <c r="B28" s="37"/>
      <c r="C28" s="36" t="s">
        <v>65</v>
      </c>
      <c r="D28" s="36"/>
      <c r="E28" s="38"/>
      <c r="F28" s="39"/>
      <c r="G28" s="40" t="s">
        <v>66</v>
      </c>
      <c r="H28" s="41"/>
      <c r="I28" s="41"/>
      <c r="J28" s="60"/>
      <c r="K28" s="60"/>
      <c r="L28" s="60"/>
      <c r="M28" s="61"/>
      <c r="N28" s="62">
        <f>0.17*7.83+((320+700)+130*1.2)/1013700</f>
        <v>1.3322601065404</v>
      </c>
      <c r="O28" s="63">
        <v>4</v>
      </c>
      <c r="P28" s="64">
        <f t="shared" si="3"/>
        <v>5.32904042616159</v>
      </c>
      <c r="Q28" s="84"/>
      <c r="R28" s="84"/>
      <c r="S28" s="85"/>
    </row>
    <row r="29" ht="13.8" spans="1:19">
      <c r="A29" s="36"/>
      <c r="B29" s="37"/>
      <c r="C29" s="36" t="s">
        <v>67</v>
      </c>
      <c r="D29" s="36"/>
      <c r="E29" s="38"/>
      <c r="F29" s="39"/>
      <c r="G29" s="40" t="s">
        <v>68</v>
      </c>
      <c r="H29" s="41"/>
      <c r="I29" s="41"/>
      <c r="J29" s="60"/>
      <c r="K29" s="60"/>
      <c r="L29" s="60"/>
      <c r="M29" s="61"/>
      <c r="N29" s="62">
        <f>0.025*7.83+((320+700)+130*1.2)/1013700</f>
        <v>0.196910106540397</v>
      </c>
      <c r="O29" s="63">
        <v>2</v>
      </c>
      <c r="P29" s="64">
        <f t="shared" si="3"/>
        <v>0.393820213080793</v>
      </c>
      <c r="Q29" s="84"/>
      <c r="R29" s="84"/>
      <c r="S29" s="85"/>
    </row>
    <row r="30" spans="1:20">
      <c r="A30" s="36"/>
      <c r="B30" s="42"/>
      <c r="C30" s="36" t="s">
        <v>69</v>
      </c>
      <c r="D30" s="36"/>
      <c r="E30" s="38"/>
      <c r="F30" s="39"/>
      <c r="G30" s="40" t="s">
        <v>70</v>
      </c>
      <c r="H30" s="41"/>
      <c r="I30" s="41"/>
      <c r="J30" s="60"/>
      <c r="K30" s="60"/>
      <c r="L30" s="60"/>
      <c r="M30" s="61"/>
      <c r="N30" s="62">
        <f>0.01*7.83+((320+700)+130*1.2)/1013700</f>
        <v>0.0794601065403966</v>
      </c>
      <c r="O30" s="63">
        <v>10</v>
      </c>
      <c r="P30" s="64">
        <f t="shared" si="3"/>
        <v>0.794601065403966</v>
      </c>
      <c r="Q30" s="84"/>
      <c r="R30" s="84"/>
      <c r="S30" s="85"/>
      <c r="T30" s="10">
        <v>71.2374</v>
      </c>
    </row>
    <row r="31" ht="13.8" spans="1:19">
      <c r="A31" s="36"/>
      <c r="B31" s="31" t="s">
        <v>71</v>
      </c>
      <c r="C31" s="36" t="s">
        <v>72</v>
      </c>
      <c r="D31" s="36"/>
      <c r="E31" s="38"/>
      <c r="F31" s="39"/>
      <c r="G31" s="40" t="s">
        <v>73</v>
      </c>
      <c r="H31" s="41"/>
      <c r="I31" s="41"/>
      <c r="J31" s="60"/>
      <c r="K31" s="60"/>
      <c r="L31" s="60"/>
      <c r="M31" s="61"/>
      <c r="N31" s="62">
        <f>0.154*7.83+((320+700)+130*1.2)/1013700</f>
        <v>1.2069801065404</v>
      </c>
      <c r="O31" s="63">
        <v>1</v>
      </c>
      <c r="P31" s="64">
        <f t="shared" si="3"/>
        <v>1.2069801065404</v>
      </c>
      <c r="Q31" s="84"/>
      <c r="R31" s="84"/>
      <c r="S31" s="85"/>
    </row>
    <row r="32" ht="13.8" spans="1:19">
      <c r="A32" s="36"/>
      <c r="B32" s="37"/>
      <c r="C32" s="36"/>
      <c r="D32" s="36"/>
      <c r="E32" s="38"/>
      <c r="F32" s="39"/>
      <c r="G32" s="40" t="s">
        <v>74</v>
      </c>
      <c r="H32" s="41"/>
      <c r="I32" s="41"/>
      <c r="J32" s="60"/>
      <c r="K32" s="60"/>
      <c r="L32" s="60"/>
      <c r="M32" s="61"/>
      <c r="N32" s="62">
        <f>0.01*7.83+((320+700)+130*1.2)/1013700</f>
        <v>0.0794601065403966</v>
      </c>
      <c r="O32" s="63">
        <v>4</v>
      </c>
      <c r="P32" s="64">
        <f t="shared" si="3"/>
        <v>0.317840426161586</v>
      </c>
      <c r="Q32" s="84"/>
      <c r="R32" s="84"/>
      <c r="S32" s="85"/>
    </row>
    <row r="33" ht="13.8" spans="1:19">
      <c r="A33" s="36"/>
      <c r="B33" s="37"/>
      <c r="C33" s="36" t="s">
        <v>75</v>
      </c>
      <c r="D33" s="36"/>
      <c r="E33" s="38"/>
      <c r="F33" s="39"/>
      <c r="G33" s="40" t="s">
        <v>76</v>
      </c>
      <c r="H33" s="41"/>
      <c r="I33" s="41"/>
      <c r="J33" s="60"/>
      <c r="K33" s="60"/>
      <c r="L33" s="60"/>
      <c r="M33" s="61"/>
      <c r="N33" s="62">
        <f>0.0568*7.83+((320+700)+130*1.2)/1013700</f>
        <v>0.445904106540397</v>
      </c>
      <c r="O33" s="63">
        <v>3</v>
      </c>
      <c r="P33" s="64">
        <f t="shared" si="3"/>
        <v>1.33771231962119</v>
      </c>
      <c r="Q33" s="84"/>
      <c r="R33" s="84"/>
      <c r="S33" s="85"/>
    </row>
    <row r="34" s="2" customFormat="1" spans="1:19">
      <c r="A34" s="30"/>
      <c r="B34" s="37"/>
      <c r="C34" s="30" t="s">
        <v>77</v>
      </c>
      <c r="D34" s="30"/>
      <c r="E34" s="32"/>
      <c r="F34" s="33"/>
      <c r="G34" s="34" t="s">
        <v>78</v>
      </c>
      <c r="H34" s="35"/>
      <c r="I34" s="35"/>
      <c r="J34" s="55"/>
      <c r="K34" s="55"/>
      <c r="L34" s="55"/>
      <c r="M34" s="56"/>
      <c r="N34" s="57">
        <f>0.156*7.83+((320+700)+130*1.2)/1013700</f>
        <v>1.2226401065404</v>
      </c>
      <c r="O34" s="58">
        <v>1</v>
      </c>
      <c r="P34" s="59">
        <f t="shared" si="3"/>
        <v>1.2226401065404</v>
      </c>
      <c r="Q34" s="82"/>
      <c r="R34" s="82"/>
      <c r="S34" s="83"/>
    </row>
    <row r="35" ht="13.8" spans="1:19">
      <c r="A35" s="36"/>
      <c r="B35" s="37"/>
      <c r="C35" s="36"/>
      <c r="D35" s="36"/>
      <c r="E35" s="38"/>
      <c r="F35" s="39"/>
      <c r="G35" s="40" t="s">
        <v>79</v>
      </c>
      <c r="H35" s="41"/>
      <c r="I35" s="41"/>
      <c r="J35" s="60"/>
      <c r="K35" s="60"/>
      <c r="L35" s="60"/>
      <c r="M35" s="61"/>
      <c r="N35" s="62">
        <f>0.03*7.83+((320+700)+130*1.2)/1013700</f>
        <v>0.236060106540397</v>
      </c>
      <c r="O35" s="63">
        <v>1</v>
      </c>
      <c r="P35" s="64">
        <f t="shared" si="3"/>
        <v>0.236060106540397</v>
      </c>
      <c r="Q35" s="84"/>
      <c r="R35" s="84"/>
      <c r="S35" s="85"/>
    </row>
    <row r="36" s="2" customFormat="1" spans="1:19">
      <c r="A36" s="30"/>
      <c r="B36" s="37"/>
      <c r="C36" s="30" t="s">
        <v>80</v>
      </c>
      <c r="D36" s="30"/>
      <c r="E36" s="32"/>
      <c r="F36" s="33"/>
      <c r="G36" s="34" t="s">
        <v>81</v>
      </c>
      <c r="H36" s="35"/>
      <c r="I36" s="35"/>
      <c r="J36" s="55"/>
      <c r="K36" s="55"/>
      <c r="L36" s="55"/>
      <c r="M36" s="56"/>
      <c r="N36" s="57">
        <f>0.11*7.83+((320+700)+130*1.2)/1013700</f>
        <v>0.862460106540397</v>
      </c>
      <c r="O36" s="58">
        <v>1</v>
      </c>
      <c r="P36" s="59">
        <f t="shared" si="3"/>
        <v>0.862460106540397</v>
      </c>
      <c r="Q36" s="82"/>
      <c r="R36" s="82"/>
      <c r="S36" s="83"/>
    </row>
    <row r="37" ht="13.8" spans="1:19">
      <c r="A37" s="36"/>
      <c r="B37" s="37"/>
      <c r="C37" s="36" t="s">
        <v>82</v>
      </c>
      <c r="D37" s="36"/>
      <c r="E37" s="38"/>
      <c r="F37" s="39"/>
      <c r="G37" s="40" t="s">
        <v>83</v>
      </c>
      <c r="H37" s="41"/>
      <c r="I37" s="41"/>
      <c r="J37" s="60"/>
      <c r="K37" s="60"/>
      <c r="L37" s="60"/>
      <c r="M37" s="61"/>
      <c r="N37" s="62">
        <f>0.0578*7.83+((320+700)+130*1.2)/1013700</f>
        <v>0.453734106540397</v>
      </c>
      <c r="O37" s="63">
        <v>1</v>
      </c>
      <c r="P37" s="64">
        <f t="shared" si="3"/>
        <v>0.453734106540397</v>
      </c>
      <c r="Q37" s="84"/>
      <c r="R37" s="84"/>
      <c r="S37" s="85"/>
    </row>
    <row r="38" ht="13.8" spans="1:19">
      <c r="A38" s="36"/>
      <c r="B38" s="37"/>
      <c r="C38" s="36" t="s">
        <v>84</v>
      </c>
      <c r="D38" s="36"/>
      <c r="E38" s="38"/>
      <c r="F38" s="39"/>
      <c r="G38" s="40" t="s">
        <v>85</v>
      </c>
      <c r="H38" s="41"/>
      <c r="I38" s="41"/>
      <c r="J38" s="60"/>
      <c r="K38" s="60"/>
      <c r="L38" s="60"/>
      <c r="M38" s="61"/>
      <c r="N38" s="62">
        <f>0.13+((320+700)+130*1.2)/1013700</f>
        <v>0.131160106540397</v>
      </c>
      <c r="O38" s="63">
        <v>1</v>
      </c>
      <c r="P38" s="64">
        <f t="shared" si="3"/>
        <v>0.131160106540397</v>
      </c>
      <c r="Q38" s="84"/>
      <c r="R38" s="84"/>
      <c r="S38" s="85"/>
    </row>
    <row r="39" ht="13.8" spans="1:19">
      <c r="A39" s="36"/>
      <c r="B39" s="37"/>
      <c r="C39" s="36" t="s">
        <v>86</v>
      </c>
      <c r="D39" s="36"/>
      <c r="E39" s="38"/>
      <c r="F39" s="39"/>
      <c r="G39" s="40" t="s">
        <v>87</v>
      </c>
      <c r="H39" s="41"/>
      <c r="I39" s="41"/>
      <c r="J39" s="60"/>
      <c r="K39" s="60"/>
      <c r="L39" s="60"/>
      <c r="M39" s="61"/>
      <c r="N39" s="62">
        <f>0.0175*7.83+((320+700)+130*1.2)/1013700</f>
        <v>0.138185106540397</v>
      </c>
      <c r="O39" s="63">
        <v>1</v>
      </c>
      <c r="P39" s="64">
        <f t="shared" si="3"/>
        <v>0.138185106540397</v>
      </c>
      <c r="Q39" s="84"/>
      <c r="R39" s="84"/>
      <c r="S39" s="85"/>
    </row>
    <row r="40" s="2" customFormat="1" spans="1:19">
      <c r="A40" s="30"/>
      <c r="B40" s="42"/>
      <c r="C40" s="30" t="s">
        <v>88</v>
      </c>
      <c r="D40" s="30"/>
      <c r="E40" s="32"/>
      <c r="F40" s="33"/>
      <c r="G40" s="34" t="s">
        <v>89</v>
      </c>
      <c r="H40" s="35"/>
      <c r="I40" s="35"/>
      <c r="J40" s="55"/>
      <c r="K40" s="55"/>
      <c r="L40" s="55"/>
      <c r="M40" s="56"/>
      <c r="N40" s="57">
        <f>0.2*7.83+((320+700)+130*1.2)/1013700</f>
        <v>1.5671601065404</v>
      </c>
      <c r="O40" s="58">
        <v>1</v>
      </c>
      <c r="P40" s="59">
        <f t="shared" si="3"/>
        <v>1.5671601065404</v>
      </c>
      <c r="Q40" s="82"/>
      <c r="R40" s="82"/>
      <c r="S40" s="83"/>
    </row>
    <row r="41" ht="13.8" spans="1:19">
      <c r="A41" s="36"/>
      <c r="B41" s="31" t="s">
        <v>90</v>
      </c>
      <c r="C41" s="36"/>
      <c r="D41" s="36"/>
      <c r="E41" s="38"/>
      <c r="F41" s="39"/>
      <c r="G41" s="40" t="s">
        <v>91</v>
      </c>
      <c r="H41" s="41"/>
      <c r="I41" s="41"/>
      <c r="J41" s="60"/>
      <c r="K41" s="60"/>
      <c r="L41" s="60"/>
      <c r="M41" s="61"/>
      <c r="N41" s="62">
        <f>0.035/1.1*1.2</f>
        <v>0.0381818181818182</v>
      </c>
      <c r="O41" s="63">
        <v>1</v>
      </c>
      <c r="P41" s="64">
        <f t="shared" si="3"/>
        <v>0.0381818181818182</v>
      </c>
      <c r="Q41" s="84"/>
      <c r="R41" s="84"/>
      <c r="S41" s="85"/>
    </row>
    <row r="42" ht="13.8" spans="1:19">
      <c r="A42" s="36"/>
      <c r="B42" s="42"/>
      <c r="C42" s="36"/>
      <c r="D42" s="36"/>
      <c r="E42" s="38"/>
      <c r="F42" s="39"/>
      <c r="G42" s="40" t="s">
        <v>92</v>
      </c>
      <c r="H42" s="41"/>
      <c r="I42" s="41"/>
      <c r="J42" s="60"/>
      <c r="K42" s="60"/>
      <c r="L42" s="60"/>
      <c r="M42" s="61"/>
      <c r="N42" s="62">
        <f>0.04/1.1*1.2</f>
        <v>0.0436363636363636</v>
      </c>
      <c r="O42" s="63">
        <v>1</v>
      </c>
      <c r="P42" s="64">
        <f t="shared" si="3"/>
        <v>0.0436363636363636</v>
      </c>
      <c r="Q42" s="84"/>
      <c r="R42" s="84"/>
      <c r="S42" s="85"/>
    </row>
    <row r="43" ht="13.8" spans="1:19">
      <c r="A43" s="36"/>
      <c r="B43" s="36" t="s">
        <v>93</v>
      </c>
      <c r="C43" s="36" t="s">
        <v>94</v>
      </c>
      <c r="D43" s="36"/>
      <c r="E43" s="38"/>
      <c r="F43" s="39"/>
      <c r="G43" s="40" t="s">
        <v>95</v>
      </c>
      <c r="H43" s="41"/>
      <c r="I43" s="41"/>
      <c r="J43" s="60"/>
      <c r="K43" s="60"/>
      <c r="L43" s="60"/>
      <c r="M43" s="61"/>
      <c r="N43" s="62">
        <f>0.008*7.83+((320+700)+130*1.2)/1013700</f>
        <v>0.0638001065403966</v>
      </c>
      <c r="O43" s="63">
        <v>1</v>
      </c>
      <c r="P43" s="64">
        <f t="shared" si="3"/>
        <v>0.0638001065403966</v>
      </c>
      <c r="Q43" s="84"/>
      <c r="R43" s="84"/>
      <c r="S43" s="85"/>
    </row>
    <row r="44" ht="13.8" spans="1:19">
      <c r="A44" s="36"/>
      <c r="B44" s="36" t="s">
        <v>96</v>
      </c>
      <c r="C44" s="36" t="s">
        <v>97</v>
      </c>
      <c r="D44" s="36"/>
      <c r="E44" s="38"/>
      <c r="F44" s="39"/>
      <c r="G44" s="40" t="s">
        <v>98</v>
      </c>
      <c r="H44" s="41"/>
      <c r="I44" s="41"/>
      <c r="J44" s="60"/>
      <c r="K44" s="60"/>
      <c r="L44" s="60"/>
      <c r="M44" s="61"/>
      <c r="N44" s="62">
        <f>0.19*7.83+((320+700)+130*1.2)/1013700</f>
        <v>1.4888601065404</v>
      </c>
      <c r="O44" s="63">
        <v>1</v>
      </c>
      <c r="P44" s="64">
        <f t="shared" si="3"/>
        <v>1.4888601065404</v>
      </c>
      <c r="Q44" s="84"/>
      <c r="R44" s="84"/>
      <c r="S44" s="85"/>
    </row>
    <row r="45" ht="13.8" spans="1:19">
      <c r="A45" s="36"/>
      <c r="B45" s="31" t="s">
        <v>99</v>
      </c>
      <c r="C45" s="36" t="s">
        <v>100</v>
      </c>
      <c r="D45" s="36"/>
      <c r="E45" s="38"/>
      <c r="F45" s="39"/>
      <c r="G45" s="40" t="s">
        <v>101</v>
      </c>
      <c r="H45" s="41"/>
      <c r="I45" s="41"/>
      <c r="J45" s="60"/>
      <c r="K45" s="60"/>
      <c r="L45" s="60"/>
      <c r="M45" s="61"/>
      <c r="N45" s="62">
        <f>0.00394*7.83+((320+700)+130*1.2)/1013700</f>
        <v>0.0320103065403966</v>
      </c>
      <c r="O45" s="63">
        <v>1</v>
      </c>
      <c r="P45" s="64">
        <f t="shared" si="3"/>
        <v>0.0320103065403966</v>
      </c>
      <c r="Q45" s="84"/>
      <c r="R45" s="84"/>
      <c r="S45" s="85"/>
    </row>
    <row r="46" ht="13.8" spans="1:19">
      <c r="A46" s="36"/>
      <c r="B46" s="37"/>
      <c r="C46" s="36" t="s">
        <v>102</v>
      </c>
      <c r="D46" s="36"/>
      <c r="E46" s="38"/>
      <c r="F46" s="39"/>
      <c r="G46" s="40" t="s">
        <v>103</v>
      </c>
      <c r="H46" s="41"/>
      <c r="I46" s="41"/>
      <c r="J46" s="60"/>
      <c r="K46" s="60"/>
      <c r="L46" s="60"/>
      <c r="M46" s="61"/>
      <c r="N46" s="62">
        <f>0.00055*7.83+((320+700)+130*1.2)/1013700</f>
        <v>0.00546660654039657</v>
      </c>
      <c r="O46" s="63">
        <v>14</v>
      </c>
      <c r="P46" s="64">
        <f t="shared" si="3"/>
        <v>0.0765324915655519</v>
      </c>
      <c r="Q46" s="84"/>
      <c r="R46" s="84"/>
      <c r="S46" s="85"/>
    </row>
    <row r="47" ht="13.8" spans="1:19">
      <c r="A47" s="36"/>
      <c r="B47" s="37"/>
      <c r="C47" s="36" t="s">
        <v>104</v>
      </c>
      <c r="D47" s="36"/>
      <c r="E47" s="38"/>
      <c r="F47" s="39"/>
      <c r="G47" s="40" t="s">
        <v>105</v>
      </c>
      <c r="H47" s="41"/>
      <c r="I47" s="41"/>
      <c r="J47" s="60"/>
      <c r="K47" s="60"/>
      <c r="L47" s="60"/>
      <c r="M47" s="61"/>
      <c r="N47" s="62">
        <f>0.00394*7.83+((320+700)+130*1.2)/1013700</f>
        <v>0.0320103065403966</v>
      </c>
      <c r="O47" s="63">
        <v>2</v>
      </c>
      <c r="P47" s="64">
        <f t="shared" si="3"/>
        <v>0.0640206130807931</v>
      </c>
      <c r="Q47" s="84"/>
      <c r="R47" s="84"/>
      <c r="S47" s="85"/>
    </row>
    <row r="48" ht="13.8" spans="1:19">
      <c r="A48" s="36"/>
      <c r="B48" s="37"/>
      <c r="C48" s="36" t="s">
        <v>106</v>
      </c>
      <c r="D48" s="36"/>
      <c r="E48" s="38"/>
      <c r="F48" s="39"/>
      <c r="G48" s="40" t="s">
        <v>107</v>
      </c>
      <c r="H48" s="41"/>
      <c r="I48" s="41"/>
      <c r="J48" s="60"/>
      <c r="K48" s="60"/>
      <c r="L48" s="60"/>
      <c r="M48" s="61"/>
      <c r="N48" s="62">
        <f>0.00042*7.83+((320+700)+130*1.2)/1013700</f>
        <v>0.00444870654039657</v>
      </c>
      <c r="O48" s="63">
        <v>16</v>
      </c>
      <c r="P48" s="64">
        <f t="shared" si="3"/>
        <v>0.0711793046463451</v>
      </c>
      <c r="Q48" s="84"/>
      <c r="R48" s="84"/>
      <c r="S48" s="85"/>
    </row>
    <row r="49" ht="13.8" spans="1:19">
      <c r="A49" s="36"/>
      <c r="B49" s="37"/>
      <c r="C49" s="36" t="s">
        <v>108</v>
      </c>
      <c r="D49" s="36"/>
      <c r="E49" s="38"/>
      <c r="F49" s="39"/>
      <c r="G49" s="40" t="s">
        <v>109</v>
      </c>
      <c r="H49" s="41"/>
      <c r="I49" s="41"/>
      <c r="J49" s="60"/>
      <c r="K49" s="60"/>
      <c r="L49" s="60"/>
      <c r="M49" s="61"/>
      <c r="N49" s="62">
        <f>0.00042*7.83+((320+700)+130*1.2)/1013700</f>
        <v>0.00444870654039657</v>
      </c>
      <c r="O49" s="63">
        <v>2</v>
      </c>
      <c r="P49" s="64">
        <f t="shared" si="3"/>
        <v>0.00889741308079313</v>
      </c>
      <c r="Q49" s="84"/>
      <c r="R49" s="84"/>
      <c r="S49" s="85"/>
    </row>
    <row r="50" ht="13.8" spans="1:19">
      <c r="A50" s="36"/>
      <c r="B50" s="37"/>
      <c r="C50" s="36" t="s">
        <v>110</v>
      </c>
      <c r="D50" s="36"/>
      <c r="E50" s="38"/>
      <c r="F50" s="39"/>
      <c r="G50" s="40" t="s">
        <v>111</v>
      </c>
      <c r="H50" s="41"/>
      <c r="I50" s="41"/>
      <c r="J50" s="60"/>
      <c r="K50" s="60"/>
      <c r="L50" s="60"/>
      <c r="M50" s="61"/>
      <c r="N50" s="62">
        <f>0.00055*7.83+((320+700)+130*1.2)/1013700</f>
        <v>0.00546660654039657</v>
      </c>
      <c r="O50" s="63">
        <v>1</v>
      </c>
      <c r="P50" s="64">
        <f t="shared" si="3"/>
        <v>0.00546660654039657</v>
      </c>
      <c r="Q50" s="84"/>
      <c r="R50" s="84"/>
      <c r="S50" s="85"/>
    </row>
    <row r="51" ht="13.8" spans="1:19">
      <c r="A51" s="36"/>
      <c r="B51" s="37"/>
      <c r="C51" s="36" t="s">
        <v>112</v>
      </c>
      <c r="D51" s="36"/>
      <c r="E51" s="38"/>
      <c r="F51" s="39"/>
      <c r="G51" s="40" t="s">
        <v>113</v>
      </c>
      <c r="H51" s="41"/>
      <c r="I51" s="41"/>
      <c r="J51" s="60"/>
      <c r="K51" s="60"/>
      <c r="L51" s="60"/>
      <c r="M51" s="61"/>
      <c r="N51" s="62">
        <f>0.00055*7.83+((320+700)+130*1.2)/1013700</f>
        <v>0.00546660654039657</v>
      </c>
      <c r="O51" s="63">
        <v>19</v>
      </c>
      <c r="P51" s="64">
        <f t="shared" si="3"/>
        <v>0.103865524267535</v>
      </c>
      <c r="Q51" s="84"/>
      <c r="R51" s="84"/>
      <c r="S51" s="85"/>
    </row>
    <row r="52" ht="13.8" spans="1:19">
      <c r="A52" s="36"/>
      <c r="B52" s="37"/>
      <c r="C52" s="36" t="s">
        <v>114</v>
      </c>
      <c r="D52" s="36"/>
      <c r="E52" s="38"/>
      <c r="F52" s="39"/>
      <c r="G52" s="40" t="s">
        <v>115</v>
      </c>
      <c r="H52" s="41"/>
      <c r="I52" s="41"/>
      <c r="J52" s="60"/>
      <c r="K52" s="60"/>
      <c r="L52" s="60"/>
      <c r="M52" s="61"/>
      <c r="N52" s="62">
        <f>0.00042*7.83+((320+700)+130*1.2)/1013700</f>
        <v>0.00444870654039657</v>
      </c>
      <c r="O52" s="63">
        <v>3</v>
      </c>
      <c r="P52" s="64">
        <f t="shared" si="3"/>
        <v>0.0133461196211897</v>
      </c>
      <c r="Q52" s="84"/>
      <c r="R52" s="84"/>
      <c r="S52" s="85"/>
    </row>
    <row r="53" ht="13.8" spans="1:19">
      <c r="A53" s="36"/>
      <c r="B53" s="37"/>
      <c r="C53" s="36" t="s">
        <v>116</v>
      </c>
      <c r="D53" s="36"/>
      <c r="E53" s="38"/>
      <c r="F53" s="39"/>
      <c r="G53" s="40" t="s">
        <v>117</v>
      </c>
      <c r="H53" s="41"/>
      <c r="I53" s="41"/>
      <c r="J53" s="60"/>
      <c r="K53" s="60"/>
      <c r="L53" s="60"/>
      <c r="M53" s="61"/>
      <c r="N53" s="62">
        <f>0.00042*7.83+((320+700)+130*1.2)/1013700</f>
        <v>0.00444870654039657</v>
      </c>
      <c r="O53" s="63">
        <v>2</v>
      </c>
      <c r="P53" s="64">
        <f t="shared" si="3"/>
        <v>0.00889741308079313</v>
      </c>
      <c r="Q53" s="84"/>
      <c r="R53" s="84"/>
      <c r="S53" s="85"/>
    </row>
    <row r="54" ht="13.8" spans="1:19">
      <c r="A54" s="36"/>
      <c r="B54" s="37"/>
      <c r="C54" s="36" t="s">
        <v>118</v>
      </c>
      <c r="D54" s="36"/>
      <c r="E54" s="38"/>
      <c r="F54" s="39"/>
      <c r="G54" s="40" t="s">
        <v>119</v>
      </c>
      <c r="H54" s="41"/>
      <c r="I54" s="41"/>
      <c r="J54" s="60"/>
      <c r="K54" s="60"/>
      <c r="L54" s="60"/>
      <c r="M54" s="61"/>
      <c r="N54" s="62">
        <f>0.00042*7.83+((320+700)+130*1.2)/1013700</f>
        <v>0.00444870654039657</v>
      </c>
      <c r="O54" s="63">
        <v>3</v>
      </c>
      <c r="P54" s="64">
        <f t="shared" si="3"/>
        <v>0.0133461196211897</v>
      </c>
      <c r="Q54" s="84"/>
      <c r="R54" s="84"/>
      <c r="S54" s="85"/>
    </row>
    <row r="55" ht="13.8" spans="1:19">
      <c r="A55" s="36"/>
      <c r="B55" s="37"/>
      <c r="C55" s="36" t="s">
        <v>120</v>
      </c>
      <c r="D55" s="36"/>
      <c r="E55" s="38"/>
      <c r="F55" s="39"/>
      <c r="G55" s="40" t="s">
        <v>121</v>
      </c>
      <c r="H55" s="41"/>
      <c r="I55" s="41"/>
      <c r="J55" s="60"/>
      <c r="K55" s="60"/>
      <c r="L55" s="60"/>
      <c r="M55" s="61"/>
      <c r="N55" s="62">
        <f>0.00055*7.83+((320+700)+130*1.2)/1013700</f>
        <v>0.00546660654039657</v>
      </c>
      <c r="O55" s="63">
        <v>6</v>
      </c>
      <c r="P55" s="64">
        <f t="shared" si="3"/>
        <v>0.0327996392423794</v>
      </c>
      <c r="Q55" s="84"/>
      <c r="R55" s="84"/>
      <c r="S55" s="85"/>
    </row>
    <row r="56" ht="13.8" spans="1:19">
      <c r="A56" s="36"/>
      <c r="B56" s="37"/>
      <c r="C56" s="36" t="s">
        <v>122</v>
      </c>
      <c r="D56" s="36"/>
      <c r="E56" s="38"/>
      <c r="F56" s="39"/>
      <c r="G56" s="40" t="s">
        <v>123</v>
      </c>
      <c r="H56" s="41"/>
      <c r="I56" s="41"/>
      <c r="J56" s="60"/>
      <c r="K56" s="60"/>
      <c r="L56" s="60"/>
      <c r="M56" s="61"/>
      <c r="N56" s="62">
        <f>0.00055*7.83+((320+700)+130*1.2)/1013700</f>
        <v>0.00546660654039657</v>
      </c>
      <c r="O56" s="63">
        <v>2</v>
      </c>
      <c r="P56" s="64">
        <f t="shared" si="3"/>
        <v>0.0109332130807931</v>
      </c>
      <c r="Q56" s="84"/>
      <c r="R56" s="84"/>
      <c r="S56" s="85"/>
    </row>
    <row r="57" s="2" customFormat="1" spans="1:19">
      <c r="A57" s="30"/>
      <c r="B57" s="37"/>
      <c r="C57" s="30" t="s">
        <v>124</v>
      </c>
      <c r="D57" s="30"/>
      <c r="E57" s="32"/>
      <c r="F57" s="33"/>
      <c r="G57" s="34" t="s">
        <v>125</v>
      </c>
      <c r="H57" s="35"/>
      <c r="I57" s="35"/>
      <c r="J57" s="55"/>
      <c r="K57" s="55"/>
      <c r="L57" s="55"/>
      <c r="M57" s="56"/>
      <c r="N57" s="57">
        <f>0.2*7.83+((320+700)+130*1.2)/1013700</f>
        <v>1.5671601065404</v>
      </c>
      <c r="O57" s="58">
        <v>1</v>
      </c>
      <c r="P57" s="59">
        <f t="shared" si="3"/>
        <v>1.5671601065404</v>
      </c>
      <c r="Q57" s="82"/>
      <c r="R57" s="82"/>
      <c r="S57" s="83"/>
    </row>
    <row r="58" ht="13.8" spans="1:19">
      <c r="A58" s="36"/>
      <c r="B58" s="37"/>
      <c r="C58" s="36" t="s">
        <v>126</v>
      </c>
      <c r="D58" s="36"/>
      <c r="E58" s="38"/>
      <c r="F58" s="39"/>
      <c r="G58" s="40" t="s">
        <v>127</v>
      </c>
      <c r="H58" s="41"/>
      <c r="I58" s="41"/>
      <c r="J58" s="60"/>
      <c r="K58" s="60"/>
      <c r="L58" s="60"/>
      <c r="M58" s="61"/>
      <c r="N58" s="62">
        <f>0.00042*7.83+((320+700)+130*1.2)/1013700</f>
        <v>0.00444870654039657</v>
      </c>
      <c r="O58" s="63">
        <v>1</v>
      </c>
      <c r="P58" s="64">
        <f t="shared" si="3"/>
        <v>0.00444870654039657</v>
      </c>
      <c r="Q58" s="84"/>
      <c r="R58" s="84"/>
      <c r="S58" s="85"/>
    </row>
    <row r="59" ht="13.8" spans="1:19">
      <c r="A59" s="36"/>
      <c r="B59" s="37"/>
      <c r="C59" s="36" t="s">
        <v>128</v>
      </c>
      <c r="D59" s="36"/>
      <c r="E59" s="38"/>
      <c r="F59" s="39"/>
      <c r="G59" s="40" t="s">
        <v>129</v>
      </c>
      <c r="H59" s="41"/>
      <c r="I59" s="41"/>
      <c r="J59" s="60"/>
      <c r="K59" s="60"/>
      <c r="L59" s="60"/>
      <c r="M59" s="61"/>
      <c r="N59" s="62">
        <f>0.00394*7.83+((320+700)+130*1.2)/1013700</f>
        <v>0.0320103065403966</v>
      </c>
      <c r="O59" s="63">
        <v>4</v>
      </c>
      <c r="P59" s="64">
        <f t="shared" si="3"/>
        <v>0.128041226161586</v>
      </c>
      <c r="Q59" s="84"/>
      <c r="R59" s="84"/>
      <c r="S59" s="85"/>
    </row>
    <row r="60" ht="13.8" spans="1:19">
      <c r="A60" s="36"/>
      <c r="B60" s="37"/>
      <c r="C60" s="36" t="s">
        <v>130</v>
      </c>
      <c r="D60" s="36"/>
      <c r="E60" s="38"/>
      <c r="F60" s="39"/>
      <c r="G60" s="40" t="s">
        <v>131</v>
      </c>
      <c r="H60" s="41"/>
      <c r="I60" s="41"/>
      <c r="J60" s="60"/>
      <c r="K60" s="60"/>
      <c r="L60" s="60"/>
      <c r="M60" s="61"/>
      <c r="N60" s="62">
        <f>0.00042*7.83+((320+700)+130*1.2)/1013700</f>
        <v>0.00444870654039657</v>
      </c>
      <c r="O60" s="63">
        <v>1</v>
      </c>
      <c r="P60" s="64">
        <f t="shared" si="3"/>
        <v>0.00444870654039657</v>
      </c>
      <c r="Q60" s="84"/>
      <c r="R60" s="84"/>
      <c r="S60" s="85"/>
    </row>
    <row r="61" ht="13.8" spans="1:19">
      <c r="A61" s="36"/>
      <c r="B61" s="37"/>
      <c r="C61" s="36" t="s">
        <v>132</v>
      </c>
      <c r="D61" s="36"/>
      <c r="E61" s="38"/>
      <c r="F61" s="39"/>
      <c r="G61" s="40" t="s">
        <v>133</v>
      </c>
      <c r="H61" s="41"/>
      <c r="I61" s="41"/>
      <c r="J61" s="60"/>
      <c r="K61" s="60"/>
      <c r="L61" s="60"/>
      <c r="M61" s="61"/>
      <c r="N61" s="62">
        <f>0.000356*7.83+((320+700)+130*1.2)/1013700</f>
        <v>0.00394758654039657</v>
      </c>
      <c r="O61" s="63">
        <v>1</v>
      </c>
      <c r="P61" s="64">
        <f t="shared" si="3"/>
        <v>0.00394758654039657</v>
      </c>
      <c r="Q61" s="84"/>
      <c r="R61" s="84"/>
      <c r="S61" s="85"/>
    </row>
    <row r="62" ht="13.8" spans="1:19">
      <c r="A62" s="36"/>
      <c r="B62" s="37"/>
      <c r="C62" s="36" t="s">
        <v>134</v>
      </c>
      <c r="D62" s="36"/>
      <c r="E62" s="38"/>
      <c r="F62" s="39"/>
      <c r="G62" s="40" t="s">
        <v>135</v>
      </c>
      <c r="H62" s="41"/>
      <c r="I62" s="41"/>
      <c r="J62" s="60"/>
      <c r="K62" s="60"/>
      <c r="L62" s="60"/>
      <c r="M62" s="61"/>
      <c r="N62" s="62">
        <f>0.000356*7.83+((320+700)+130*1.2)/1013700</f>
        <v>0.00394758654039657</v>
      </c>
      <c r="O62" s="63">
        <v>2</v>
      </c>
      <c r="P62" s="64">
        <f t="shared" si="3"/>
        <v>0.00789517308079313</v>
      </c>
      <c r="Q62" s="84"/>
      <c r="R62" s="84"/>
      <c r="S62" s="85"/>
    </row>
    <row r="63" ht="13.8" spans="1:19">
      <c r="A63" s="36"/>
      <c r="B63" s="37"/>
      <c r="C63" s="36" t="s">
        <v>136</v>
      </c>
      <c r="D63" s="36"/>
      <c r="E63" s="38"/>
      <c r="F63" s="39"/>
      <c r="G63" s="40" t="s">
        <v>137</v>
      </c>
      <c r="H63" s="41"/>
      <c r="I63" s="41"/>
      <c r="J63" s="60"/>
      <c r="K63" s="60"/>
      <c r="L63" s="60"/>
      <c r="M63" s="61"/>
      <c r="N63" s="62">
        <f>0.00088*7.83+((320+700)+130*1.2)/1013700</f>
        <v>0.00805050654039657</v>
      </c>
      <c r="O63" s="63">
        <v>2</v>
      </c>
      <c r="P63" s="64">
        <f t="shared" si="3"/>
        <v>0.0161010130807931</v>
      </c>
      <c r="Q63" s="84"/>
      <c r="R63" s="84"/>
      <c r="S63" s="85"/>
    </row>
    <row r="64" ht="13.8" spans="1:19">
      <c r="A64" s="36"/>
      <c r="B64" s="42"/>
      <c r="C64" s="36" t="s">
        <v>138</v>
      </c>
      <c r="D64" s="36"/>
      <c r="E64" s="38"/>
      <c r="F64" s="39"/>
      <c r="G64" s="40" t="s">
        <v>139</v>
      </c>
      <c r="H64" s="41"/>
      <c r="I64" s="41"/>
      <c r="J64" s="60"/>
      <c r="K64" s="60"/>
      <c r="L64" s="60"/>
      <c r="M64" s="61"/>
      <c r="N64" s="62">
        <f>0.000355*7.83+((320+700)+130*1.2)/1013700</f>
        <v>0.00393975654039657</v>
      </c>
      <c r="O64" s="63">
        <v>1</v>
      </c>
      <c r="P64" s="64">
        <f t="shared" si="3"/>
        <v>0.00393975654039657</v>
      </c>
      <c r="Q64" s="84"/>
      <c r="R64" s="84"/>
      <c r="S64" s="85"/>
    </row>
    <row r="65" ht="13.8" spans="1:19">
      <c r="A65" s="36"/>
      <c r="B65" s="36" t="s">
        <v>140</v>
      </c>
      <c r="C65" s="36"/>
      <c r="D65" s="36"/>
      <c r="E65" s="38"/>
      <c r="F65" s="39"/>
      <c r="G65" s="40" t="s">
        <v>141</v>
      </c>
      <c r="H65" s="41"/>
      <c r="I65" s="41"/>
      <c r="J65" s="60"/>
      <c r="K65" s="60"/>
      <c r="L65" s="60"/>
      <c r="M65" s="61"/>
      <c r="N65" s="62">
        <f>0.088/1.1*1.2</f>
        <v>0.096</v>
      </c>
      <c r="O65" s="63">
        <v>4</v>
      </c>
      <c r="P65" s="64">
        <f t="shared" si="3"/>
        <v>0.384</v>
      </c>
      <c r="Q65" s="84"/>
      <c r="R65" s="84"/>
      <c r="S65" s="85"/>
    </row>
    <row r="66" s="2" customFormat="1" spans="1:19">
      <c r="A66" s="30"/>
      <c r="B66" s="31" t="s">
        <v>142</v>
      </c>
      <c r="C66" s="30" t="s">
        <v>143</v>
      </c>
      <c r="D66" s="30"/>
      <c r="E66" s="32"/>
      <c r="F66" s="33"/>
      <c r="G66" s="34" t="s">
        <v>144</v>
      </c>
      <c r="H66" s="35"/>
      <c r="I66" s="35"/>
      <c r="J66" s="55"/>
      <c r="K66" s="55"/>
      <c r="L66" s="55"/>
      <c r="M66" s="56"/>
      <c r="N66" s="57">
        <f>0.6*7.83+((320+700)+130*1.2)/1013700</f>
        <v>4.6991601065404</v>
      </c>
      <c r="O66" s="58">
        <v>1</v>
      </c>
      <c r="P66" s="59">
        <f t="shared" si="3"/>
        <v>4.6991601065404</v>
      </c>
      <c r="Q66" s="82"/>
      <c r="R66" s="82"/>
      <c r="S66" s="83"/>
    </row>
    <row r="67" s="2" customFormat="1" spans="1:19">
      <c r="A67" s="30"/>
      <c r="B67" s="37"/>
      <c r="C67" s="30" t="s">
        <v>145</v>
      </c>
      <c r="D67" s="30"/>
      <c r="E67" s="32"/>
      <c r="F67" s="33"/>
      <c r="G67" s="34" t="s">
        <v>146</v>
      </c>
      <c r="H67" s="35"/>
      <c r="I67" s="35"/>
      <c r="J67" s="55"/>
      <c r="K67" s="55"/>
      <c r="L67" s="55"/>
      <c r="M67" s="56"/>
      <c r="N67" s="57">
        <f>0.355*7.83+((320+700)+130*1.2)/1013700</f>
        <v>2.7808101065404</v>
      </c>
      <c r="O67" s="58">
        <v>1</v>
      </c>
      <c r="P67" s="59">
        <f t="shared" si="3"/>
        <v>2.7808101065404</v>
      </c>
      <c r="Q67" s="82"/>
      <c r="R67" s="82"/>
      <c r="S67" s="83"/>
    </row>
    <row r="68" s="2" customFormat="1" spans="1:19">
      <c r="A68" s="30"/>
      <c r="B68" s="37"/>
      <c r="C68" s="30" t="s">
        <v>145</v>
      </c>
      <c r="D68" s="30"/>
      <c r="E68" s="32"/>
      <c r="F68" s="33"/>
      <c r="G68" s="34" t="s">
        <v>147</v>
      </c>
      <c r="H68" s="35"/>
      <c r="I68" s="35"/>
      <c r="J68" s="55"/>
      <c r="K68" s="55"/>
      <c r="L68" s="55"/>
      <c r="M68" s="56"/>
      <c r="N68" s="57">
        <f>0.38*7.83+((320+700)+130*1.2)/1013700</f>
        <v>2.9765601065404</v>
      </c>
      <c r="O68" s="58">
        <v>1</v>
      </c>
      <c r="P68" s="59">
        <f t="shared" si="3"/>
        <v>2.9765601065404</v>
      </c>
      <c r="Q68" s="82"/>
      <c r="R68" s="82"/>
      <c r="S68" s="83"/>
    </row>
    <row r="69" s="2" customFormat="1" spans="1:19">
      <c r="A69" s="30"/>
      <c r="B69" s="37"/>
      <c r="C69" s="30" t="s">
        <v>148</v>
      </c>
      <c r="D69" s="30"/>
      <c r="E69" s="32"/>
      <c r="F69" s="33"/>
      <c r="G69" s="34" t="s">
        <v>149</v>
      </c>
      <c r="H69" s="35"/>
      <c r="I69" s="35"/>
      <c r="J69" s="55"/>
      <c r="K69" s="55"/>
      <c r="L69" s="55"/>
      <c r="M69" s="56"/>
      <c r="N69" s="57">
        <f>3.15*7.83+((320+700)+130*1.2)/1013700</f>
        <v>24.6656601065404</v>
      </c>
      <c r="O69" s="58">
        <v>2</v>
      </c>
      <c r="P69" s="59">
        <f t="shared" si="3"/>
        <v>49.3313202130808</v>
      </c>
      <c r="Q69" s="82"/>
      <c r="R69" s="82"/>
      <c r="S69" s="83"/>
    </row>
    <row r="70" s="2" customFormat="1" spans="1:19">
      <c r="A70" s="30"/>
      <c r="B70" s="37"/>
      <c r="C70" s="30" t="s">
        <v>150</v>
      </c>
      <c r="D70" s="30"/>
      <c r="E70" s="32"/>
      <c r="F70" s="33"/>
      <c r="G70" s="34" t="s">
        <v>151</v>
      </c>
      <c r="H70" s="35"/>
      <c r="I70" s="35"/>
      <c r="J70" s="55"/>
      <c r="K70" s="55"/>
      <c r="L70" s="55"/>
      <c r="M70" s="56"/>
      <c r="N70" s="57">
        <f>4.15*7.83+((320+700)+130*1.2)/1013700</f>
        <v>32.4956601065404</v>
      </c>
      <c r="O70" s="58">
        <v>1</v>
      </c>
      <c r="P70" s="59">
        <f t="shared" si="3"/>
        <v>32.4956601065404</v>
      </c>
      <c r="Q70" s="82"/>
      <c r="R70" s="82"/>
      <c r="S70" s="83"/>
    </row>
    <row r="71" s="2" customFormat="1" spans="1:20">
      <c r="A71" s="30"/>
      <c r="B71" s="37"/>
      <c r="C71" s="30" t="s">
        <v>152</v>
      </c>
      <c r="D71" s="30"/>
      <c r="E71" s="32"/>
      <c r="F71" s="33"/>
      <c r="G71" s="34" t="s">
        <v>153</v>
      </c>
      <c r="H71" s="35"/>
      <c r="I71" s="35"/>
      <c r="J71" s="55"/>
      <c r="K71" s="55"/>
      <c r="L71" s="55"/>
      <c r="M71" s="56"/>
      <c r="N71" s="97">
        <f>3.8*7.83+((320+700)+130*1.2)/1013700</f>
        <v>29.7551601065404</v>
      </c>
      <c r="O71" s="58">
        <v>1</v>
      </c>
      <c r="P71" s="59">
        <f t="shared" si="3"/>
        <v>29.7551601065404</v>
      </c>
      <c r="Q71" s="82"/>
      <c r="R71" s="82"/>
      <c r="S71" s="83"/>
      <c r="T71" s="2" t="s">
        <v>154</v>
      </c>
    </row>
    <row r="72" s="2" customFormat="1" spans="1:19">
      <c r="A72" s="30"/>
      <c r="B72" s="37"/>
      <c r="C72" s="30" t="s">
        <v>155</v>
      </c>
      <c r="D72" s="30"/>
      <c r="E72" s="32"/>
      <c r="F72" s="33"/>
      <c r="G72" s="34" t="s">
        <v>156</v>
      </c>
      <c r="H72" s="35"/>
      <c r="I72" s="35"/>
      <c r="J72" s="55"/>
      <c r="K72" s="55"/>
      <c r="L72" s="55"/>
      <c r="M72" s="56"/>
      <c r="N72" s="98"/>
      <c r="O72" s="58">
        <v>1</v>
      </c>
      <c r="P72" s="59">
        <f t="shared" si="3"/>
        <v>0</v>
      </c>
      <c r="Q72" s="82"/>
      <c r="R72" s="82"/>
      <c r="S72" s="83"/>
    </row>
    <row r="73" ht="13.8" spans="1:19">
      <c r="A73" s="36"/>
      <c r="B73" s="37"/>
      <c r="C73" s="36" t="s">
        <v>145</v>
      </c>
      <c r="D73" s="36"/>
      <c r="E73" s="38"/>
      <c r="F73" s="39"/>
      <c r="G73" s="40" t="s">
        <v>157</v>
      </c>
      <c r="H73" s="41"/>
      <c r="I73" s="41"/>
      <c r="J73" s="60"/>
      <c r="K73" s="60"/>
      <c r="L73" s="60"/>
      <c r="M73" s="61"/>
      <c r="N73" s="62">
        <f>0.25*7.83+((320+700)+130*1.2)/1013700</f>
        <v>1.9586601065404</v>
      </c>
      <c r="O73" s="63">
        <v>1</v>
      </c>
      <c r="P73" s="64">
        <f t="shared" si="3"/>
        <v>1.9586601065404</v>
      </c>
      <c r="Q73" s="84"/>
      <c r="R73" s="84"/>
      <c r="S73" s="85"/>
    </row>
    <row r="74" ht="13.8" spans="1:19">
      <c r="A74" s="36"/>
      <c r="B74" s="42"/>
      <c r="C74" s="36" t="s">
        <v>158</v>
      </c>
      <c r="D74" s="36"/>
      <c r="E74" s="38"/>
      <c r="F74" s="39"/>
      <c r="G74" s="40" t="s">
        <v>159</v>
      </c>
      <c r="H74" s="41"/>
      <c r="I74" s="41"/>
      <c r="J74" s="60"/>
      <c r="K74" s="60"/>
      <c r="L74" s="60"/>
      <c r="M74" s="61"/>
      <c r="N74" s="62">
        <f>0.55/1.1*1.2</f>
        <v>0.6</v>
      </c>
      <c r="O74" s="63">
        <v>1</v>
      </c>
      <c r="P74" s="64">
        <f t="shared" si="3"/>
        <v>0.6</v>
      </c>
      <c r="Q74" s="84"/>
      <c r="R74" s="84"/>
      <c r="S74" s="85"/>
    </row>
    <row r="75" ht="13.8" spans="1:19">
      <c r="A75" s="36"/>
      <c r="B75" s="31" t="s">
        <v>160</v>
      </c>
      <c r="C75" s="36"/>
      <c r="D75" s="36"/>
      <c r="E75" s="38"/>
      <c r="F75" s="39"/>
      <c r="G75" s="40" t="s">
        <v>161</v>
      </c>
      <c r="H75" s="41"/>
      <c r="I75" s="41"/>
      <c r="J75" s="60"/>
      <c r="K75" s="60"/>
      <c r="L75" s="60"/>
      <c r="M75" s="61"/>
      <c r="N75" s="62">
        <f>0.1*7.83+((320+700)+130*1.2)/1013700</f>
        <v>0.784160106540397</v>
      </c>
      <c r="O75" s="63">
        <v>1</v>
      </c>
      <c r="P75" s="64">
        <f t="shared" si="3"/>
        <v>0.784160106540397</v>
      </c>
      <c r="Q75" s="84"/>
      <c r="R75" s="84"/>
      <c r="S75" s="85"/>
    </row>
    <row r="76" ht="13.8" spans="1:19">
      <c r="A76" s="36"/>
      <c r="B76" s="37"/>
      <c r="C76" s="36" t="s">
        <v>162</v>
      </c>
      <c r="D76" s="36"/>
      <c r="E76" s="38"/>
      <c r="F76" s="39"/>
      <c r="G76" s="40" t="s">
        <v>163</v>
      </c>
      <c r="H76" s="41"/>
      <c r="I76" s="41"/>
      <c r="J76" s="60"/>
      <c r="K76" s="60"/>
      <c r="L76" s="60"/>
      <c r="M76" s="61"/>
      <c r="N76" s="62">
        <f>0.45/1.1*1.2</f>
        <v>0.490909090909091</v>
      </c>
      <c r="O76" s="63">
        <v>1</v>
      </c>
      <c r="P76" s="64">
        <f t="shared" ref="P76:P92" si="4">N76*O76</f>
        <v>0.490909090909091</v>
      </c>
      <c r="Q76" s="84"/>
      <c r="R76" s="84"/>
      <c r="S76" s="85"/>
    </row>
    <row r="77" spans="1:19">
      <c r="A77" s="36"/>
      <c r="B77" s="42"/>
      <c r="C77" s="36" t="s">
        <v>164</v>
      </c>
      <c r="D77" s="36"/>
      <c r="E77" s="38"/>
      <c r="F77" s="39"/>
      <c r="G77" s="40" t="s">
        <v>165</v>
      </c>
      <c r="H77" s="41"/>
      <c r="I77" s="41"/>
      <c r="J77" s="60"/>
      <c r="K77" s="60"/>
      <c r="L77" s="60"/>
      <c r="M77" s="61"/>
      <c r="N77" s="62">
        <f>0.39/1.1*1.2</f>
        <v>0.425454545454545</v>
      </c>
      <c r="O77" s="63">
        <v>1</v>
      </c>
      <c r="P77" s="64">
        <f t="shared" si="4"/>
        <v>0.425454545454545</v>
      </c>
      <c r="Q77" s="84"/>
      <c r="R77" s="84"/>
      <c r="S77" s="85"/>
    </row>
    <row r="78" ht="13.8" spans="1:19">
      <c r="A78" s="36"/>
      <c r="B78" s="31" t="s">
        <v>166</v>
      </c>
      <c r="C78" s="36" t="s">
        <v>167</v>
      </c>
      <c r="D78" s="36"/>
      <c r="E78" s="38"/>
      <c r="F78" s="39"/>
      <c r="G78" s="40" t="s">
        <v>168</v>
      </c>
      <c r="H78" s="41"/>
      <c r="I78" s="41"/>
      <c r="J78" s="60"/>
      <c r="K78" s="60"/>
      <c r="L78" s="60"/>
      <c r="M78" s="61"/>
      <c r="N78" s="62">
        <f>0.5*7.83+((320+700)+130*1.2)/1013700</f>
        <v>3.9161601065404</v>
      </c>
      <c r="O78" s="63">
        <v>2</v>
      </c>
      <c r="P78" s="64">
        <f t="shared" si="4"/>
        <v>7.83232021308079</v>
      </c>
      <c r="Q78" s="84"/>
      <c r="R78" s="84"/>
      <c r="S78" s="85"/>
    </row>
    <row r="79" ht="13.8" spans="1:19">
      <c r="A79" s="36"/>
      <c r="B79" s="37"/>
      <c r="C79" s="36" t="s">
        <v>169</v>
      </c>
      <c r="D79" s="36"/>
      <c r="E79" s="38"/>
      <c r="F79" s="39"/>
      <c r="G79" s="40" t="s">
        <v>170</v>
      </c>
      <c r="H79" s="41"/>
      <c r="I79" s="41"/>
      <c r="J79" s="60"/>
      <c r="K79" s="60"/>
      <c r="L79" s="60"/>
      <c r="M79" s="61"/>
      <c r="N79" s="62">
        <f>0.2*7.83+((320+700)+130*1.2)/1013700</f>
        <v>1.5671601065404</v>
      </c>
      <c r="O79" s="63">
        <v>2</v>
      </c>
      <c r="P79" s="64">
        <f t="shared" si="4"/>
        <v>3.13432021308079</v>
      </c>
      <c r="Q79" s="84"/>
      <c r="R79" s="84"/>
      <c r="S79" s="85"/>
    </row>
    <row r="80" ht="13.8" spans="1:19">
      <c r="A80" s="36"/>
      <c r="B80" s="37"/>
      <c r="C80" s="36"/>
      <c r="D80" s="36"/>
      <c r="E80" s="38"/>
      <c r="F80" s="39"/>
      <c r="G80" s="40" t="s">
        <v>171</v>
      </c>
      <c r="H80" s="41"/>
      <c r="I80" s="41"/>
      <c r="J80" s="60"/>
      <c r="K80" s="60"/>
      <c r="L80" s="60"/>
      <c r="M80" s="61"/>
      <c r="N80" s="62">
        <f>0.023*7.83+((320+700)+130*1.2)/1013700</f>
        <v>0.181250106540397</v>
      </c>
      <c r="O80" s="63">
        <v>1</v>
      </c>
      <c r="P80" s="64">
        <f t="shared" si="4"/>
        <v>0.181250106540397</v>
      </c>
      <c r="Q80" s="84"/>
      <c r="R80" s="84"/>
      <c r="S80" s="85"/>
    </row>
    <row r="81" ht="13.8" spans="1:19">
      <c r="A81" s="36"/>
      <c r="B81" s="37"/>
      <c r="C81" s="36" t="s">
        <v>172</v>
      </c>
      <c r="D81" s="36"/>
      <c r="E81" s="38"/>
      <c r="F81" s="39"/>
      <c r="G81" s="40" t="s">
        <v>95</v>
      </c>
      <c r="H81" s="41"/>
      <c r="I81" s="41"/>
      <c r="J81" s="60"/>
      <c r="K81" s="60"/>
      <c r="L81" s="60"/>
      <c r="M81" s="61"/>
      <c r="N81" s="62">
        <f>0.008*7.83+((320+700)+130*1.2)/1013700</f>
        <v>0.0638001065403966</v>
      </c>
      <c r="O81" s="63">
        <v>1</v>
      </c>
      <c r="P81" s="64">
        <f t="shared" si="4"/>
        <v>0.0638001065403966</v>
      </c>
      <c r="Q81" s="84"/>
      <c r="R81" s="84"/>
      <c r="S81" s="85"/>
    </row>
    <row r="82" ht="13.8" spans="1:19">
      <c r="A82" s="36"/>
      <c r="B82" s="37"/>
      <c r="C82" s="36"/>
      <c r="D82" s="36"/>
      <c r="E82" s="38"/>
      <c r="F82" s="39"/>
      <c r="G82" s="40" t="s">
        <v>173</v>
      </c>
      <c r="H82" s="41"/>
      <c r="I82" s="41"/>
      <c r="J82" s="60"/>
      <c r="K82" s="60"/>
      <c r="L82" s="60"/>
      <c r="M82" s="61"/>
      <c r="N82" s="62">
        <f>0.48*7.83+((320+700)+130*1.2)/1013700</f>
        <v>3.7595601065404</v>
      </c>
      <c r="O82" s="63">
        <v>1</v>
      </c>
      <c r="P82" s="64">
        <f t="shared" si="4"/>
        <v>3.7595601065404</v>
      </c>
      <c r="Q82" s="84"/>
      <c r="R82" s="84"/>
      <c r="S82" s="85"/>
    </row>
    <row r="83" ht="13.8" spans="1:19">
      <c r="A83" s="36"/>
      <c r="B83" s="37"/>
      <c r="C83" s="36" t="s">
        <v>174</v>
      </c>
      <c r="D83" s="36"/>
      <c r="E83" s="38"/>
      <c r="F83" s="39"/>
      <c r="G83" s="40" t="s">
        <v>175</v>
      </c>
      <c r="H83" s="41"/>
      <c r="I83" s="41"/>
      <c r="J83" s="60"/>
      <c r="K83" s="60"/>
      <c r="L83" s="60"/>
      <c r="M83" s="61"/>
      <c r="N83" s="62">
        <f>0.211*7.83+((320+700)+130*1.2)/1013700</f>
        <v>1.6532901065404</v>
      </c>
      <c r="O83" s="63">
        <v>1</v>
      </c>
      <c r="P83" s="64">
        <f t="shared" si="4"/>
        <v>1.6532901065404</v>
      </c>
      <c r="Q83" s="84"/>
      <c r="R83" s="84"/>
      <c r="S83" s="85"/>
    </row>
    <row r="84" ht="13.8" spans="1:19">
      <c r="A84" s="36"/>
      <c r="B84" s="37"/>
      <c r="C84" s="36" t="s">
        <v>176</v>
      </c>
      <c r="D84" s="36"/>
      <c r="E84" s="38"/>
      <c r="F84" s="39"/>
      <c r="G84" s="40" t="s">
        <v>177</v>
      </c>
      <c r="H84" s="41"/>
      <c r="I84" s="41"/>
      <c r="J84" s="60"/>
      <c r="K84" s="60"/>
      <c r="L84" s="60"/>
      <c r="M84" s="61"/>
      <c r="N84" s="62">
        <f>0.3*7.83+((320+700)+130*1.2)/1013700</f>
        <v>2.3501601065404</v>
      </c>
      <c r="O84" s="63">
        <v>1</v>
      </c>
      <c r="P84" s="64">
        <f t="shared" si="4"/>
        <v>2.3501601065404</v>
      </c>
      <c r="Q84" s="84"/>
      <c r="R84" s="84"/>
      <c r="S84" s="85"/>
    </row>
    <row r="85" ht="13.8" spans="1:19">
      <c r="A85" s="36"/>
      <c r="B85" s="42"/>
      <c r="C85" s="36" t="s">
        <v>178</v>
      </c>
      <c r="D85" s="36"/>
      <c r="E85" s="38"/>
      <c r="F85" s="39"/>
      <c r="G85" s="40" t="s">
        <v>179</v>
      </c>
      <c r="H85" s="41"/>
      <c r="I85" s="41"/>
      <c r="J85" s="60"/>
      <c r="K85" s="60"/>
      <c r="L85" s="60"/>
      <c r="M85" s="61"/>
      <c r="N85" s="62">
        <f>0.35*7.83+((320+700)+130*1.2)/1013700</f>
        <v>2.7416601065404</v>
      </c>
      <c r="O85" s="63">
        <v>1</v>
      </c>
      <c r="P85" s="64">
        <f t="shared" si="4"/>
        <v>2.7416601065404</v>
      </c>
      <c r="Q85" s="84"/>
      <c r="R85" s="84"/>
      <c r="S85" s="85"/>
    </row>
    <row r="86" ht="13.8" spans="1:19">
      <c r="A86" s="36"/>
      <c r="B86" s="31" t="s">
        <v>180</v>
      </c>
      <c r="C86" s="36" t="s">
        <v>181</v>
      </c>
      <c r="D86" s="36"/>
      <c r="E86" s="38"/>
      <c r="F86" s="39"/>
      <c r="G86" s="40" t="s">
        <v>182</v>
      </c>
      <c r="H86" s="41"/>
      <c r="I86" s="41"/>
      <c r="J86" s="60"/>
      <c r="K86" s="60"/>
      <c r="L86" s="60"/>
      <c r="M86" s="61"/>
      <c r="N86" s="62">
        <f>1.12/1.1*1.2</f>
        <v>1.22181818181818</v>
      </c>
      <c r="O86" s="63">
        <v>1</v>
      </c>
      <c r="P86" s="64">
        <f t="shared" si="4"/>
        <v>1.22181818181818</v>
      </c>
      <c r="Q86" s="84"/>
      <c r="R86" s="84"/>
      <c r="S86" s="85"/>
    </row>
    <row r="87" s="2" customFormat="1" spans="1:19">
      <c r="A87" s="30"/>
      <c r="B87" s="42"/>
      <c r="C87" s="30" t="s">
        <v>183</v>
      </c>
      <c r="D87" s="30"/>
      <c r="E87" s="32"/>
      <c r="F87" s="33"/>
      <c r="G87" s="34" t="s">
        <v>184</v>
      </c>
      <c r="H87" s="35"/>
      <c r="I87" s="35"/>
      <c r="J87" s="55"/>
      <c r="K87" s="55"/>
      <c r="L87" s="55"/>
      <c r="M87" s="56"/>
      <c r="N87" s="57">
        <f>2.02*7.83+((320+700)+130*1.2)/1013700</f>
        <v>15.8177601065404</v>
      </c>
      <c r="O87" s="58">
        <v>1</v>
      </c>
      <c r="P87" s="59">
        <f t="shared" si="4"/>
        <v>15.8177601065404</v>
      </c>
      <c r="Q87" s="82"/>
      <c r="R87" s="82"/>
      <c r="S87" s="83"/>
    </row>
    <row r="88" ht="13.8" spans="1:19">
      <c r="A88" s="36"/>
      <c r="B88" s="31" t="s">
        <v>185</v>
      </c>
      <c r="C88" s="36"/>
      <c r="D88" s="36"/>
      <c r="E88" s="38"/>
      <c r="F88" s="39"/>
      <c r="G88" s="40" t="s">
        <v>186</v>
      </c>
      <c r="H88" s="41"/>
      <c r="I88" s="41"/>
      <c r="J88" s="60"/>
      <c r="K88" s="60"/>
      <c r="L88" s="60"/>
      <c r="M88" s="61"/>
      <c r="N88" s="62">
        <f>0.0261*7.83+((320+700)+130*1.2)/1013700</f>
        <v>0.205523106540397</v>
      </c>
      <c r="O88" s="63">
        <v>1</v>
      </c>
      <c r="P88" s="64">
        <f t="shared" si="4"/>
        <v>0.205523106540397</v>
      </c>
      <c r="Q88" s="84"/>
      <c r="R88" s="84"/>
      <c r="S88" s="85"/>
    </row>
    <row r="89" ht="13.8" spans="1:19">
      <c r="A89" s="36"/>
      <c r="B89" s="42"/>
      <c r="C89" s="36"/>
      <c r="D89" s="36"/>
      <c r="E89" s="38"/>
      <c r="F89" s="39"/>
      <c r="G89" s="40" t="s">
        <v>187</v>
      </c>
      <c r="H89" s="41"/>
      <c r="I89" s="41"/>
      <c r="J89" s="60"/>
      <c r="K89" s="60"/>
      <c r="L89" s="60"/>
      <c r="M89" s="61"/>
      <c r="N89" s="62">
        <f>0.0261*7.83+((320+700)+130*1.2)/1013700</f>
        <v>0.205523106540397</v>
      </c>
      <c r="O89" s="63">
        <v>1</v>
      </c>
      <c r="P89" s="64">
        <f t="shared" si="4"/>
        <v>0.205523106540397</v>
      </c>
      <c r="Q89" s="84"/>
      <c r="R89" s="84"/>
      <c r="S89" s="85"/>
    </row>
    <row r="90" s="2" customFormat="1" spans="1:19">
      <c r="A90" s="30"/>
      <c r="B90" s="30" t="s">
        <v>188</v>
      </c>
      <c r="C90" s="30" t="s">
        <v>189</v>
      </c>
      <c r="D90" s="30"/>
      <c r="E90" s="32"/>
      <c r="F90" s="33"/>
      <c r="G90" s="34" t="s">
        <v>190</v>
      </c>
      <c r="H90" s="35"/>
      <c r="I90" s="35"/>
      <c r="J90" s="55"/>
      <c r="K90" s="55"/>
      <c r="L90" s="55"/>
      <c r="M90" s="56"/>
      <c r="N90" s="57">
        <f>12*7.83+((320+700)+130*1.2)/1013700</f>
        <v>93.9611601065404</v>
      </c>
      <c r="O90" s="58">
        <v>1</v>
      </c>
      <c r="P90" s="59">
        <f t="shared" si="4"/>
        <v>93.9611601065404</v>
      </c>
      <c r="Q90" s="82"/>
      <c r="R90" s="82"/>
      <c r="S90" s="83"/>
    </row>
    <row r="91" s="2" customFormat="1" spans="1:19">
      <c r="A91" s="30"/>
      <c r="B91" s="30" t="s">
        <v>191</v>
      </c>
      <c r="C91" s="30" t="s">
        <v>192</v>
      </c>
      <c r="D91" s="30"/>
      <c r="E91" s="32"/>
      <c r="F91" s="33"/>
      <c r="G91" s="34"/>
      <c r="H91" s="35"/>
      <c r="I91" s="35"/>
      <c r="J91" s="55"/>
      <c r="K91" s="55"/>
      <c r="L91" s="55"/>
      <c r="M91" s="56"/>
      <c r="N91" s="57">
        <f>7.56/1.1*1.2</f>
        <v>8.24727272727273</v>
      </c>
      <c r="O91" s="58">
        <v>1</v>
      </c>
      <c r="P91" s="59">
        <f t="shared" si="4"/>
        <v>8.24727272727273</v>
      </c>
      <c r="Q91" s="82"/>
      <c r="R91" s="82"/>
      <c r="S91" s="83"/>
    </row>
    <row r="92" s="2" customFormat="1" ht="16.35" spans="1:19">
      <c r="A92" s="30"/>
      <c r="B92" s="30" t="s">
        <v>193</v>
      </c>
      <c r="C92" s="30" t="s">
        <v>194</v>
      </c>
      <c r="D92" s="30"/>
      <c r="E92" s="32"/>
      <c r="F92" s="33"/>
      <c r="G92" s="34"/>
      <c r="H92" s="35"/>
      <c r="I92" s="35"/>
      <c r="J92" s="55"/>
      <c r="K92" s="55"/>
      <c r="L92" s="55"/>
      <c r="M92" s="56"/>
      <c r="N92" s="57">
        <f>3.03/1.1*1.2</f>
        <v>3.30545454545454</v>
      </c>
      <c r="O92" s="58">
        <v>1</v>
      </c>
      <c r="P92" s="59">
        <f t="shared" si="4"/>
        <v>3.30545454545454</v>
      </c>
      <c r="Q92" s="82"/>
      <c r="R92" s="82"/>
      <c r="S92" s="83"/>
    </row>
    <row r="93" ht="14.55" spans="1:19">
      <c r="A93" s="50" t="s">
        <v>195</v>
      </c>
      <c r="B93" s="51" t="s">
        <v>196</v>
      </c>
      <c r="C93" s="24"/>
      <c r="D93" s="24"/>
      <c r="E93" s="24"/>
      <c r="F93" s="24"/>
      <c r="G93" s="24"/>
      <c r="H93" s="24"/>
      <c r="I93" s="24"/>
      <c r="J93" s="24"/>
      <c r="K93" s="24"/>
      <c r="L93" s="75"/>
      <c r="M93" s="76"/>
      <c r="N93" s="76"/>
      <c r="O93" s="76"/>
      <c r="P93" s="77">
        <f>SUM(P9:P92)</f>
        <v>334.822922850321</v>
      </c>
      <c r="Q93" s="91"/>
      <c r="R93" s="75"/>
      <c r="S93" s="91"/>
    </row>
  </sheetData>
  <mergeCells count="17">
    <mergeCell ref="A1:B1"/>
    <mergeCell ref="A2:B2"/>
    <mergeCell ref="A3:B3"/>
    <mergeCell ref="A4:B4"/>
    <mergeCell ref="A5:B5"/>
    <mergeCell ref="G7:S7"/>
    <mergeCell ref="Q8:S8"/>
    <mergeCell ref="B9:B30"/>
    <mergeCell ref="B31:B40"/>
    <mergeCell ref="B41:B42"/>
    <mergeCell ref="B45:B64"/>
    <mergeCell ref="B66:B74"/>
    <mergeCell ref="B75:B77"/>
    <mergeCell ref="B78:B85"/>
    <mergeCell ref="B86:B87"/>
    <mergeCell ref="B88:B89"/>
    <mergeCell ref="N71:N7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7"/>
  <sheetViews>
    <sheetView topLeftCell="A4" workbookViewId="0">
      <selection activeCell="C15" sqref="C15"/>
    </sheetView>
  </sheetViews>
  <sheetFormatPr defaultColWidth="8.83333333333333" defaultRowHeight="15.6"/>
  <cols>
    <col min="1" max="1" width="5.16666666666667" style="3" customWidth="1"/>
    <col min="2" max="2" width="24.8333333333333" style="3" customWidth="1"/>
    <col min="3" max="3" width="13.6666666666667" style="3" customWidth="1"/>
    <col min="4" max="4" width="12.8333333333333" style="3" customWidth="1"/>
    <col min="5" max="5" width="10.8333333333333" style="4" customWidth="1"/>
    <col min="6" max="6" width="10.8333333333333" style="5" customWidth="1"/>
    <col min="7" max="7" width="6.16666666666667" style="6" customWidth="1"/>
    <col min="8" max="8" width="6.66666666666667" style="5" customWidth="1"/>
    <col min="9" max="9" width="5.33333333333333" style="5" customWidth="1"/>
    <col min="10" max="10" width="8.83333333333333" style="7" customWidth="1"/>
    <col min="11" max="11" width="7.33333333333333" style="5" customWidth="1"/>
    <col min="12" max="12" width="5.83333333333333" style="5" customWidth="1"/>
    <col min="13" max="13" width="6.66666666666667" style="5" customWidth="1"/>
    <col min="14" max="14" width="10.3333333333333" style="5" customWidth="1"/>
    <col min="15" max="15" width="6.66666666666667" style="5" customWidth="1"/>
    <col min="16" max="16" width="12.3333333333333" style="8" customWidth="1"/>
    <col min="17" max="19" width="4.66666666666667" style="9" customWidth="1"/>
    <col min="20" max="16384" width="8.83333333333333" style="10"/>
  </cols>
  <sheetData>
    <row r="1" ht="13.8" spans="1:3">
      <c r="A1" s="11" t="s">
        <v>0</v>
      </c>
      <c r="B1" s="11"/>
      <c r="C1" s="12" t="s">
        <v>1</v>
      </c>
    </row>
    <row r="2" ht="13.8" spans="1:3">
      <c r="A2" s="11" t="s">
        <v>2</v>
      </c>
      <c r="B2" s="11"/>
      <c r="C2" s="13"/>
    </row>
    <row r="3" spans="1:3">
      <c r="A3" s="11" t="s">
        <v>3</v>
      </c>
      <c r="B3" s="11"/>
      <c r="C3" s="14" t="s">
        <v>197</v>
      </c>
    </row>
    <row r="4" ht="13.8" spans="1:3">
      <c r="A4" s="11" t="s">
        <v>5</v>
      </c>
      <c r="B4" s="11"/>
      <c r="C4" s="15"/>
    </row>
    <row r="5" ht="13.8" spans="1:3">
      <c r="A5" s="16" t="s">
        <v>6</v>
      </c>
      <c r="B5" s="16"/>
      <c r="C5" s="17"/>
    </row>
    <row r="6" ht="14.55" spans="1:19">
      <c r="A6" s="16"/>
      <c r="B6" s="16" t="s">
        <v>7</v>
      </c>
      <c r="C6" s="18"/>
      <c r="D6" s="19" t="s">
        <v>8</v>
      </c>
      <c r="E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ht="21.15" spans="1:19">
      <c r="A7" s="22"/>
      <c r="B7" s="23"/>
      <c r="C7" s="23"/>
      <c r="D7" s="22"/>
      <c r="E7" s="22"/>
      <c r="F7" s="24"/>
      <c r="G7" s="25" t="s">
        <v>9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78"/>
    </row>
    <row r="8" s="1" customFormat="1" ht="47.55" spans="1:19">
      <c r="A8" s="27" t="s">
        <v>10</v>
      </c>
      <c r="B8" s="27" t="s">
        <v>11</v>
      </c>
      <c r="C8" s="27" t="s">
        <v>12</v>
      </c>
      <c r="D8" s="27" t="s">
        <v>13</v>
      </c>
      <c r="E8" s="27" t="s">
        <v>14</v>
      </c>
      <c r="F8" s="28" t="s">
        <v>15</v>
      </c>
      <c r="G8" s="29" t="s">
        <v>16</v>
      </c>
      <c r="H8" s="29" t="s">
        <v>17</v>
      </c>
      <c r="I8" s="29" t="s">
        <v>18</v>
      </c>
      <c r="J8" s="52" t="s">
        <v>19</v>
      </c>
      <c r="K8" s="29" t="s">
        <v>20</v>
      </c>
      <c r="L8" s="53" t="s">
        <v>21</v>
      </c>
      <c r="M8" s="29" t="s">
        <v>22</v>
      </c>
      <c r="N8" s="29" t="s">
        <v>23</v>
      </c>
      <c r="O8" s="29" t="s">
        <v>24</v>
      </c>
      <c r="P8" s="54" t="s">
        <v>25</v>
      </c>
      <c r="Q8" s="79" t="s">
        <v>26</v>
      </c>
      <c r="R8" s="80"/>
      <c r="S8" s="81"/>
    </row>
    <row r="9" ht="13.8" spans="1:19">
      <c r="A9" s="36"/>
      <c r="B9" s="31" t="s">
        <v>27</v>
      </c>
      <c r="C9" s="36" t="s">
        <v>198</v>
      </c>
      <c r="D9" s="36"/>
      <c r="E9" s="38"/>
      <c r="F9" s="39"/>
      <c r="G9" s="40" t="s">
        <v>199</v>
      </c>
      <c r="H9" s="41"/>
      <c r="I9" s="41"/>
      <c r="J9" s="60"/>
      <c r="K9" s="60"/>
      <c r="L9" s="60"/>
      <c r="M9" s="61"/>
      <c r="N9" s="92">
        <f>0.001*7.83+((320+700)+130*1.2)/1013700</f>
        <v>0.00899010654039657</v>
      </c>
      <c r="O9" s="63">
        <v>7</v>
      </c>
      <c r="P9" s="64">
        <f t="shared" ref="P9:P16" si="0">N9*O9</f>
        <v>0.062930745782776</v>
      </c>
      <c r="Q9" s="84"/>
      <c r="R9" s="84"/>
      <c r="S9" s="85"/>
    </row>
    <row r="10" ht="13.8" spans="1:19">
      <c r="A10" s="36"/>
      <c r="B10" s="42"/>
      <c r="C10" s="36" t="s">
        <v>55</v>
      </c>
      <c r="D10" s="36"/>
      <c r="E10" s="38"/>
      <c r="F10" s="39"/>
      <c r="G10" s="40" t="s">
        <v>56</v>
      </c>
      <c r="H10" s="41"/>
      <c r="I10" s="41"/>
      <c r="J10" s="60"/>
      <c r="K10" s="60"/>
      <c r="L10" s="60"/>
      <c r="M10" s="61"/>
      <c r="N10" s="92">
        <f>0.05*7.83+((320+700)+130*1.2)/1013700</f>
        <v>0.392660106540397</v>
      </c>
      <c r="O10" s="63">
        <v>1</v>
      </c>
      <c r="P10" s="64">
        <f t="shared" si="0"/>
        <v>0.392660106540397</v>
      </c>
      <c r="Q10" s="84"/>
      <c r="R10" s="84"/>
      <c r="S10" s="85"/>
    </row>
    <row r="11" ht="13.8" spans="1:19">
      <c r="A11" s="36"/>
      <c r="B11" s="31" t="s">
        <v>99</v>
      </c>
      <c r="C11" s="36" t="s">
        <v>120</v>
      </c>
      <c r="D11" s="36"/>
      <c r="E11" s="38"/>
      <c r="F11" s="39"/>
      <c r="G11" s="40" t="s">
        <v>121</v>
      </c>
      <c r="H11" s="41"/>
      <c r="I11" s="41"/>
      <c r="J11" s="60"/>
      <c r="K11" s="60"/>
      <c r="L11" s="60"/>
      <c r="M11" s="61"/>
      <c r="N11" s="92">
        <f>0.00055*7.83+((320+700)+130*1.2)/1013700</f>
        <v>0.00546660654039657</v>
      </c>
      <c r="O11" s="63">
        <v>1</v>
      </c>
      <c r="P11" s="64">
        <f t="shared" si="0"/>
        <v>0.00546660654039657</v>
      </c>
      <c r="Q11" s="84"/>
      <c r="R11" s="84"/>
      <c r="S11" s="85"/>
    </row>
    <row r="12" ht="13.8" spans="1:19">
      <c r="A12" s="36"/>
      <c r="B12" s="42"/>
      <c r="C12" s="36" t="s">
        <v>112</v>
      </c>
      <c r="D12" s="36"/>
      <c r="E12" s="38"/>
      <c r="F12" s="39"/>
      <c r="G12" s="40" t="s">
        <v>113</v>
      </c>
      <c r="H12" s="41"/>
      <c r="I12" s="41"/>
      <c r="J12" s="60"/>
      <c r="K12" s="60"/>
      <c r="L12" s="60"/>
      <c r="M12" s="61"/>
      <c r="N12" s="92">
        <f>0.00055*7.83+((320+700)+130*1.2)/1013700</f>
        <v>0.00546660654039657</v>
      </c>
      <c r="O12" s="63">
        <v>2</v>
      </c>
      <c r="P12" s="64">
        <f t="shared" si="0"/>
        <v>0.0109332130807931</v>
      </c>
      <c r="Q12" s="84"/>
      <c r="R12" s="84"/>
      <c r="S12" s="85"/>
    </row>
    <row r="13" s="2" customFormat="1" spans="1:19">
      <c r="A13" s="30"/>
      <c r="B13" s="31" t="s">
        <v>200</v>
      </c>
      <c r="C13" s="30" t="s">
        <v>201</v>
      </c>
      <c r="D13" s="30"/>
      <c r="E13" s="32"/>
      <c r="F13" s="33"/>
      <c r="G13" s="34" t="s">
        <v>202</v>
      </c>
      <c r="H13" s="35"/>
      <c r="I13" s="35"/>
      <c r="J13" s="55"/>
      <c r="K13" s="55"/>
      <c r="L13" s="55"/>
      <c r="M13" s="56"/>
      <c r="N13" s="93">
        <f>0.42*7.83+((320+700)+130*1.2)/1013700</f>
        <v>3.2897601065404</v>
      </c>
      <c r="O13" s="58">
        <v>1</v>
      </c>
      <c r="P13" s="59">
        <f t="shared" si="0"/>
        <v>3.2897601065404</v>
      </c>
      <c r="Q13" s="82"/>
      <c r="R13" s="82"/>
      <c r="S13" s="83"/>
    </row>
    <row r="14" s="2" customFormat="1" spans="1:19">
      <c r="A14" s="30"/>
      <c r="B14" s="42"/>
      <c r="C14" s="30" t="s">
        <v>124</v>
      </c>
      <c r="D14" s="30"/>
      <c r="E14" s="32"/>
      <c r="F14" s="33"/>
      <c r="G14" s="34" t="s">
        <v>125</v>
      </c>
      <c r="H14" s="35"/>
      <c r="I14" s="35"/>
      <c r="J14" s="55"/>
      <c r="K14" s="55"/>
      <c r="L14" s="55"/>
      <c r="M14" s="56"/>
      <c r="N14" s="93">
        <f>0.2*7.83+((320+700)+130*1.2)/1013700</f>
        <v>1.5671601065404</v>
      </c>
      <c r="O14" s="58">
        <v>1</v>
      </c>
      <c r="P14" s="59">
        <f t="shared" si="0"/>
        <v>1.5671601065404</v>
      </c>
      <c r="Q14" s="82"/>
      <c r="R14" s="82"/>
      <c r="S14" s="83"/>
    </row>
    <row r="15" s="2" customFormat="1" spans="1:19">
      <c r="A15" s="30"/>
      <c r="B15" s="30" t="s">
        <v>203</v>
      </c>
      <c r="C15" s="30" t="s">
        <v>204</v>
      </c>
      <c r="D15" s="30"/>
      <c r="E15" s="32"/>
      <c r="F15" s="33"/>
      <c r="G15" s="34" t="s">
        <v>205</v>
      </c>
      <c r="H15" s="35"/>
      <c r="I15" s="35"/>
      <c r="J15" s="55"/>
      <c r="K15" s="55"/>
      <c r="L15" s="55"/>
      <c r="M15" s="56"/>
      <c r="N15" s="93">
        <f>1*7.83+((320+700)+130*1.2)/1013700</f>
        <v>7.8311601065404</v>
      </c>
      <c r="O15" s="58">
        <v>1</v>
      </c>
      <c r="P15" s="59">
        <f t="shared" si="0"/>
        <v>7.8311601065404</v>
      </c>
      <c r="Q15" s="82"/>
      <c r="R15" s="82"/>
      <c r="S15" s="83"/>
    </row>
    <row r="16" s="2" customFormat="1" ht="16.35" spans="1:19">
      <c r="A16" s="30"/>
      <c r="B16" s="30" t="s">
        <v>206</v>
      </c>
      <c r="C16" s="30" t="s">
        <v>207</v>
      </c>
      <c r="D16" s="30"/>
      <c r="E16" s="32"/>
      <c r="F16" s="33"/>
      <c r="G16" s="34" t="s">
        <v>208</v>
      </c>
      <c r="H16" s="35"/>
      <c r="I16" s="35"/>
      <c r="J16" s="55"/>
      <c r="K16" s="55"/>
      <c r="L16" s="55"/>
      <c r="M16" s="56"/>
      <c r="N16" s="93">
        <f>2.5*1.2</f>
        <v>3</v>
      </c>
      <c r="O16" s="58">
        <v>1</v>
      </c>
      <c r="P16" s="59">
        <f t="shared" si="0"/>
        <v>3</v>
      </c>
      <c r="Q16" s="82"/>
      <c r="R16" s="82"/>
      <c r="S16" s="83"/>
    </row>
    <row r="17" ht="14.55" spans="1:19">
      <c r="A17" s="50" t="s">
        <v>195</v>
      </c>
      <c r="B17" s="51" t="s">
        <v>196</v>
      </c>
      <c r="C17" s="24"/>
      <c r="D17" s="24"/>
      <c r="E17" s="24"/>
      <c r="F17" s="24"/>
      <c r="G17" s="24"/>
      <c r="H17" s="24"/>
      <c r="I17" s="24"/>
      <c r="J17" s="24"/>
      <c r="K17" s="24"/>
      <c r="L17" s="75"/>
      <c r="M17" s="76"/>
      <c r="N17" s="76"/>
      <c r="O17" s="76"/>
      <c r="P17" s="77">
        <f>SUM(P9:P16)</f>
        <v>16.1600709915656</v>
      </c>
      <c r="Q17" s="91"/>
      <c r="R17" s="75"/>
      <c r="S17" s="91"/>
    </row>
  </sheetData>
  <mergeCells count="10">
    <mergeCell ref="A1:B1"/>
    <mergeCell ref="A2:B2"/>
    <mergeCell ref="A3:B3"/>
    <mergeCell ref="A4:B4"/>
    <mergeCell ref="A5:B5"/>
    <mergeCell ref="G7:S7"/>
    <mergeCell ref="Q8:S8"/>
    <mergeCell ref="B9:B10"/>
    <mergeCell ref="B11:B12"/>
    <mergeCell ref="B13:B1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7"/>
  <sheetViews>
    <sheetView topLeftCell="A4" workbookViewId="0">
      <selection activeCell="E18" sqref="E18"/>
    </sheetView>
  </sheetViews>
  <sheetFormatPr defaultColWidth="8.83333333333333" defaultRowHeight="15.6"/>
  <cols>
    <col min="1" max="1" width="5.16666666666667" style="3" customWidth="1"/>
    <col min="2" max="2" width="24.8333333333333" style="3" customWidth="1"/>
    <col min="3" max="3" width="13.6666666666667" style="3" customWidth="1"/>
    <col min="4" max="4" width="12.8333333333333" style="3" customWidth="1"/>
    <col min="5" max="5" width="10.8333333333333" style="4" customWidth="1"/>
    <col min="6" max="6" width="10.8333333333333" style="5" customWidth="1"/>
    <col min="7" max="7" width="6.16666666666667" style="6" customWidth="1"/>
    <col min="8" max="8" width="6.66666666666667" style="5" customWidth="1"/>
    <col min="9" max="9" width="5.33333333333333" style="5" customWidth="1"/>
    <col min="10" max="10" width="8.83333333333333" style="7" customWidth="1"/>
    <col min="11" max="11" width="7.33333333333333" style="5" customWidth="1"/>
    <col min="12" max="12" width="5.83333333333333" style="5" customWidth="1"/>
    <col min="13" max="13" width="6.66666666666667" style="5" customWidth="1"/>
    <col min="14" max="14" width="8" style="5" customWidth="1"/>
    <col min="15" max="15" width="6.66666666666667" style="5" customWidth="1"/>
    <col min="16" max="16" width="12.3333333333333" style="8" customWidth="1"/>
    <col min="17" max="19" width="4.66666666666667" style="9" customWidth="1"/>
    <col min="20" max="16384" width="8.83333333333333" style="10"/>
  </cols>
  <sheetData>
    <row r="1" ht="13.8" spans="1:3">
      <c r="A1" s="11" t="s">
        <v>0</v>
      </c>
      <c r="B1" s="11"/>
      <c r="C1" s="12" t="s">
        <v>1</v>
      </c>
    </row>
    <row r="2" ht="13.8" spans="1:3">
      <c r="A2" s="11" t="s">
        <v>2</v>
      </c>
      <c r="B2" s="11"/>
      <c r="C2" s="13"/>
    </row>
    <row r="3" spans="1:3">
      <c r="A3" s="11" t="s">
        <v>3</v>
      </c>
      <c r="B3" s="11"/>
      <c r="C3" s="14" t="s">
        <v>209</v>
      </c>
    </row>
    <row r="4" ht="13.8" spans="1:3">
      <c r="A4" s="11" t="s">
        <v>5</v>
      </c>
      <c r="B4" s="11"/>
      <c r="C4" s="15"/>
    </row>
    <row r="5" ht="13.8" spans="1:3">
      <c r="A5" s="16" t="s">
        <v>6</v>
      </c>
      <c r="B5" s="16"/>
      <c r="C5" s="17"/>
    </row>
    <row r="6" ht="14.55" spans="1:19">
      <c r="A6" s="16"/>
      <c r="B6" s="16" t="s">
        <v>7</v>
      </c>
      <c r="C6" s="18"/>
      <c r="D6" s="19" t="s">
        <v>8</v>
      </c>
      <c r="E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ht="21.15" spans="1:19">
      <c r="A7" s="22"/>
      <c r="B7" s="23"/>
      <c r="C7" s="23"/>
      <c r="D7" s="22"/>
      <c r="E7" s="22"/>
      <c r="F7" s="24"/>
      <c r="G7" s="25" t="s">
        <v>9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78"/>
    </row>
    <row r="8" s="1" customFormat="1" ht="47.55" spans="1:19">
      <c r="A8" s="27" t="s">
        <v>10</v>
      </c>
      <c r="B8" s="27" t="s">
        <v>11</v>
      </c>
      <c r="C8" s="27" t="s">
        <v>12</v>
      </c>
      <c r="D8" s="27" t="s">
        <v>13</v>
      </c>
      <c r="E8" s="27" t="s">
        <v>14</v>
      </c>
      <c r="F8" s="28" t="s">
        <v>15</v>
      </c>
      <c r="G8" s="29" t="s">
        <v>16</v>
      </c>
      <c r="H8" s="29" t="s">
        <v>17</v>
      </c>
      <c r="I8" s="29" t="s">
        <v>18</v>
      </c>
      <c r="J8" s="52" t="s">
        <v>19</v>
      </c>
      <c r="K8" s="29" t="s">
        <v>20</v>
      </c>
      <c r="L8" s="53" t="s">
        <v>21</v>
      </c>
      <c r="M8" s="29" t="s">
        <v>22</v>
      </c>
      <c r="N8" s="29" t="s">
        <v>23</v>
      </c>
      <c r="O8" s="29" t="s">
        <v>24</v>
      </c>
      <c r="P8" s="54" t="s">
        <v>25</v>
      </c>
      <c r="Q8" s="79" t="s">
        <v>26</v>
      </c>
      <c r="R8" s="80"/>
      <c r="S8" s="81"/>
    </row>
    <row r="9" s="2" customFormat="1" spans="1:19">
      <c r="A9" s="30"/>
      <c r="B9" s="31" t="s">
        <v>27</v>
      </c>
      <c r="C9" s="30" t="s">
        <v>210</v>
      </c>
      <c r="D9" s="30"/>
      <c r="E9" s="32"/>
      <c r="F9" s="33"/>
      <c r="G9" s="34" t="s">
        <v>211</v>
      </c>
      <c r="H9" s="35"/>
      <c r="I9" s="35"/>
      <c r="J9" s="55"/>
      <c r="K9" s="55"/>
      <c r="L9" s="55"/>
      <c r="M9" s="56"/>
      <c r="N9" s="57">
        <f>0.2*7.83+((320+700)+130*1.2)/1013700</f>
        <v>1.5671601065404</v>
      </c>
      <c r="O9" s="58">
        <v>3</v>
      </c>
      <c r="P9" s="59">
        <f t="shared" ref="P9:P16" si="0">N9*O9</f>
        <v>4.70148031962119</v>
      </c>
      <c r="Q9" s="82"/>
      <c r="R9" s="82"/>
      <c r="S9" s="83"/>
    </row>
    <row r="10" ht="13.8" spans="1:19">
      <c r="A10" s="36"/>
      <c r="B10" s="37"/>
      <c r="C10" s="36" t="s">
        <v>55</v>
      </c>
      <c r="D10" s="36"/>
      <c r="E10" s="38"/>
      <c r="F10" s="39"/>
      <c r="G10" s="40" t="s">
        <v>56</v>
      </c>
      <c r="H10" s="41"/>
      <c r="I10" s="41"/>
      <c r="J10" s="60"/>
      <c r="K10" s="60"/>
      <c r="L10" s="60"/>
      <c r="M10" s="61"/>
      <c r="N10" s="62">
        <f>0.05*7.83+((320+700)+130*1.2)/1013700</f>
        <v>0.392660106540397</v>
      </c>
      <c r="O10" s="63">
        <v>2</v>
      </c>
      <c r="P10" s="64">
        <f t="shared" si="0"/>
        <v>0.785320213080793</v>
      </c>
      <c r="Q10" s="84"/>
      <c r="R10" s="84"/>
      <c r="S10" s="85"/>
    </row>
    <row r="11" ht="13.8" spans="1:19">
      <c r="A11" s="36"/>
      <c r="B11" s="37"/>
      <c r="C11" s="36" t="s">
        <v>198</v>
      </c>
      <c r="D11" s="36"/>
      <c r="E11" s="38"/>
      <c r="F11" s="39"/>
      <c r="G11" s="40" t="s">
        <v>199</v>
      </c>
      <c r="H11" s="41"/>
      <c r="I11" s="41"/>
      <c r="J11" s="60"/>
      <c r="K11" s="60"/>
      <c r="L11" s="60"/>
      <c r="M11" s="61"/>
      <c r="N11" s="62">
        <f>0.001*7.83+((320+700)+130*1.2)/1013700</f>
        <v>0.00899010654039657</v>
      </c>
      <c r="O11" s="63">
        <v>1</v>
      </c>
      <c r="P11" s="64">
        <f t="shared" si="0"/>
        <v>0.00899010654039657</v>
      </c>
      <c r="Q11" s="84"/>
      <c r="R11" s="84"/>
      <c r="S11" s="85"/>
    </row>
    <row r="12" ht="13.8" spans="1:19">
      <c r="A12" s="36"/>
      <c r="B12" s="42"/>
      <c r="C12" s="36" t="s">
        <v>212</v>
      </c>
      <c r="D12" s="36"/>
      <c r="E12" s="38"/>
      <c r="F12" s="39"/>
      <c r="G12" s="40" t="s">
        <v>213</v>
      </c>
      <c r="H12" s="41"/>
      <c r="I12" s="41"/>
      <c r="J12" s="60"/>
      <c r="K12" s="60"/>
      <c r="L12" s="60"/>
      <c r="M12" s="61"/>
      <c r="N12" s="62">
        <f>0.0121*7.83+((320+700)+130*1.2)/1013700</f>
        <v>0.0959031065403966</v>
      </c>
      <c r="O12" s="63">
        <v>1</v>
      </c>
      <c r="P12" s="64">
        <f t="shared" si="0"/>
        <v>0.0959031065403966</v>
      </c>
      <c r="Q12" s="84"/>
      <c r="R12" s="84"/>
      <c r="S12" s="85"/>
    </row>
    <row r="13" ht="13.8" spans="1:19">
      <c r="A13" s="36"/>
      <c r="B13" s="36" t="s">
        <v>96</v>
      </c>
      <c r="C13" s="36" t="s">
        <v>214</v>
      </c>
      <c r="D13" s="36"/>
      <c r="E13" s="38"/>
      <c r="F13" s="39"/>
      <c r="G13" s="40" t="s">
        <v>215</v>
      </c>
      <c r="H13" s="41"/>
      <c r="I13" s="41"/>
      <c r="J13" s="60"/>
      <c r="K13" s="60"/>
      <c r="L13" s="60"/>
      <c r="M13" s="61"/>
      <c r="N13" s="62">
        <f>0.143*7.83+((320+700)+130*1.2)/1013700</f>
        <v>1.1208501065404</v>
      </c>
      <c r="O13" s="63">
        <v>1</v>
      </c>
      <c r="P13" s="64">
        <f t="shared" si="0"/>
        <v>1.1208501065404</v>
      </c>
      <c r="Q13" s="84"/>
      <c r="R13" s="84"/>
      <c r="S13" s="85"/>
    </row>
    <row r="14" ht="13.8" spans="1:19">
      <c r="A14" s="36"/>
      <c r="B14" s="31" t="s">
        <v>99</v>
      </c>
      <c r="C14" s="36" t="s">
        <v>126</v>
      </c>
      <c r="D14" s="36"/>
      <c r="E14" s="38"/>
      <c r="F14" s="39"/>
      <c r="G14" s="40" t="s">
        <v>127</v>
      </c>
      <c r="H14" s="41"/>
      <c r="I14" s="41"/>
      <c r="J14" s="60"/>
      <c r="K14" s="60"/>
      <c r="L14" s="60"/>
      <c r="M14" s="61"/>
      <c r="N14" s="62">
        <f>0.00042*7.83+((320+700)+130*1.2)/1013700</f>
        <v>0.00444870654039657</v>
      </c>
      <c r="O14" s="63">
        <v>1</v>
      </c>
      <c r="P14" s="64">
        <f t="shared" si="0"/>
        <v>0.00444870654039657</v>
      </c>
      <c r="Q14" s="84"/>
      <c r="R14" s="84"/>
      <c r="S14" s="85"/>
    </row>
    <row r="15" ht="13.8" spans="1:19">
      <c r="A15" s="36"/>
      <c r="B15" s="42"/>
      <c r="C15" s="36" t="s">
        <v>102</v>
      </c>
      <c r="D15" s="36"/>
      <c r="E15" s="38"/>
      <c r="F15" s="39"/>
      <c r="G15" s="40" t="s">
        <v>103</v>
      </c>
      <c r="H15" s="41"/>
      <c r="I15" s="41"/>
      <c r="J15" s="60"/>
      <c r="K15" s="60"/>
      <c r="L15" s="60"/>
      <c r="M15" s="61"/>
      <c r="N15" s="62">
        <f>0.00055*7.83+((320+700)+130*1.2)/1013700</f>
        <v>0.00546660654039657</v>
      </c>
      <c r="O15" s="63">
        <v>2</v>
      </c>
      <c r="P15" s="64">
        <f t="shared" si="0"/>
        <v>0.0109332130807931</v>
      </c>
      <c r="Q15" s="84"/>
      <c r="R15" s="84"/>
      <c r="S15" s="85"/>
    </row>
    <row r="16" s="2" customFormat="1" ht="16.35" spans="1:19">
      <c r="A16" s="30"/>
      <c r="B16" s="30" t="s">
        <v>216</v>
      </c>
      <c r="C16" s="30" t="s">
        <v>217</v>
      </c>
      <c r="D16" s="30"/>
      <c r="E16" s="32"/>
      <c r="F16" s="33"/>
      <c r="G16" s="34" t="s">
        <v>218</v>
      </c>
      <c r="H16" s="35"/>
      <c r="I16" s="35"/>
      <c r="J16" s="55"/>
      <c r="K16" s="55"/>
      <c r="L16" s="55"/>
      <c r="M16" s="56"/>
      <c r="N16" s="57">
        <f>8.775/1.1*1.2</f>
        <v>9.57272727272727</v>
      </c>
      <c r="O16" s="58">
        <v>1</v>
      </c>
      <c r="P16" s="59">
        <f t="shared" si="0"/>
        <v>9.57272727272727</v>
      </c>
      <c r="Q16" s="82"/>
      <c r="R16" s="82"/>
      <c r="S16" s="83"/>
    </row>
    <row r="17" ht="14.55" spans="1:19">
      <c r="A17" s="50" t="s">
        <v>195</v>
      </c>
      <c r="B17" s="51" t="s">
        <v>196</v>
      </c>
      <c r="C17" s="24"/>
      <c r="D17" s="24"/>
      <c r="E17" s="24"/>
      <c r="F17" s="24"/>
      <c r="G17" s="24"/>
      <c r="H17" s="24"/>
      <c r="I17" s="24"/>
      <c r="J17" s="24"/>
      <c r="K17" s="24"/>
      <c r="L17" s="75"/>
      <c r="M17" s="76"/>
      <c r="N17" s="76"/>
      <c r="O17" s="76"/>
      <c r="P17" s="77">
        <f>SUM(P9:P16)</f>
        <v>16.3006530446716</v>
      </c>
      <c r="Q17" s="91"/>
      <c r="R17" s="75"/>
      <c r="S17" s="91"/>
    </row>
  </sheetData>
  <mergeCells count="9">
    <mergeCell ref="A1:B1"/>
    <mergeCell ref="A2:B2"/>
    <mergeCell ref="A3:B3"/>
    <mergeCell ref="A4:B4"/>
    <mergeCell ref="A5:B5"/>
    <mergeCell ref="G7:S7"/>
    <mergeCell ref="Q8:S8"/>
    <mergeCell ref="B9:B12"/>
    <mergeCell ref="B14:B15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6"/>
  <sheetViews>
    <sheetView workbookViewId="0">
      <selection activeCell="K19" sqref="K19"/>
    </sheetView>
  </sheetViews>
  <sheetFormatPr defaultColWidth="8.83333333333333" defaultRowHeight="15.6"/>
  <cols>
    <col min="1" max="1" width="5.16666666666667" style="3" customWidth="1"/>
    <col min="2" max="2" width="24.8333333333333" style="3" customWidth="1"/>
    <col min="3" max="3" width="13.6666666666667" style="3" customWidth="1"/>
    <col min="4" max="4" width="12.8333333333333" style="3" customWidth="1"/>
    <col min="5" max="5" width="10.8333333333333" style="4" customWidth="1"/>
    <col min="6" max="6" width="10.8333333333333" style="5" customWidth="1"/>
    <col min="7" max="7" width="6.16666666666667" style="6" customWidth="1"/>
    <col min="8" max="8" width="6.66666666666667" style="5" customWidth="1"/>
    <col min="9" max="9" width="5.33333333333333" style="5" customWidth="1"/>
    <col min="10" max="10" width="8.83333333333333" style="7" customWidth="1"/>
    <col min="11" max="11" width="7.33333333333333" style="5" customWidth="1"/>
    <col min="12" max="12" width="5.83333333333333" style="5" customWidth="1"/>
    <col min="13" max="13" width="6.66666666666667" style="5" customWidth="1"/>
    <col min="14" max="14" width="8" style="5" customWidth="1"/>
    <col min="15" max="15" width="6.66666666666667" style="5" customWidth="1"/>
    <col min="16" max="16" width="12.3333333333333" style="8" customWidth="1"/>
    <col min="17" max="19" width="4.66666666666667" style="9" customWidth="1"/>
    <col min="20" max="16384" width="8.83333333333333" style="10"/>
  </cols>
  <sheetData>
    <row r="1" ht="13.8" spans="1:3">
      <c r="A1" s="11" t="s">
        <v>0</v>
      </c>
      <c r="B1" s="11"/>
      <c r="C1" s="12" t="s">
        <v>1</v>
      </c>
    </row>
    <row r="2" ht="13.8" spans="1:3">
      <c r="A2" s="11" t="s">
        <v>2</v>
      </c>
      <c r="B2" s="11"/>
      <c r="C2" s="13"/>
    </row>
    <row r="3" spans="1:3">
      <c r="A3" s="11" t="s">
        <v>3</v>
      </c>
      <c r="B3" s="11"/>
      <c r="C3" s="14" t="s">
        <v>219</v>
      </c>
    </row>
    <row r="4" ht="13.8" spans="1:3">
      <c r="A4" s="11" t="s">
        <v>5</v>
      </c>
      <c r="B4" s="11"/>
      <c r="C4" s="15"/>
    </row>
    <row r="5" ht="13.8" spans="1:3">
      <c r="A5" s="16" t="s">
        <v>6</v>
      </c>
      <c r="B5" s="16"/>
      <c r="C5" s="17"/>
    </row>
    <row r="6" ht="14.55" spans="1:19">
      <c r="A6" s="16"/>
      <c r="B6" s="16" t="s">
        <v>7</v>
      </c>
      <c r="C6" s="18"/>
      <c r="D6" s="19" t="s">
        <v>8</v>
      </c>
      <c r="E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ht="21.15" spans="1:19">
      <c r="A7" s="22"/>
      <c r="B7" s="23"/>
      <c r="C7" s="23"/>
      <c r="D7" s="22"/>
      <c r="E7" s="22"/>
      <c r="F7" s="24"/>
      <c r="G7" s="25" t="s">
        <v>9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78"/>
    </row>
    <row r="8" s="1" customFormat="1" ht="47.55" spans="1:19">
      <c r="A8" s="27" t="s">
        <v>10</v>
      </c>
      <c r="B8" s="27" t="s">
        <v>11</v>
      </c>
      <c r="C8" s="27" t="s">
        <v>12</v>
      </c>
      <c r="D8" s="27" t="s">
        <v>13</v>
      </c>
      <c r="E8" s="27" t="s">
        <v>14</v>
      </c>
      <c r="F8" s="28" t="s">
        <v>15</v>
      </c>
      <c r="G8" s="29" t="s">
        <v>16</v>
      </c>
      <c r="H8" s="29" t="s">
        <v>17</v>
      </c>
      <c r="I8" s="29" t="s">
        <v>18</v>
      </c>
      <c r="J8" s="52" t="s">
        <v>19</v>
      </c>
      <c r="K8" s="29" t="s">
        <v>20</v>
      </c>
      <c r="L8" s="53" t="s">
        <v>21</v>
      </c>
      <c r="M8" s="29" t="s">
        <v>22</v>
      </c>
      <c r="N8" s="29" t="s">
        <v>23</v>
      </c>
      <c r="O8" s="29" t="s">
        <v>24</v>
      </c>
      <c r="P8" s="54" t="s">
        <v>25</v>
      </c>
      <c r="Q8" s="79" t="s">
        <v>26</v>
      </c>
      <c r="R8" s="80"/>
      <c r="S8" s="81"/>
    </row>
    <row r="9" s="2" customFormat="1" spans="1:19">
      <c r="A9" s="30"/>
      <c r="B9" s="31" t="s">
        <v>27</v>
      </c>
      <c r="C9" s="30" t="s">
        <v>210</v>
      </c>
      <c r="D9" s="30"/>
      <c r="E9" s="32"/>
      <c r="F9" s="33"/>
      <c r="G9" s="34" t="s">
        <v>211</v>
      </c>
      <c r="H9" s="35"/>
      <c r="I9" s="35"/>
      <c r="J9" s="55"/>
      <c r="K9" s="55"/>
      <c r="L9" s="55"/>
      <c r="M9" s="56"/>
      <c r="N9" s="57">
        <f>0.2*7.83+((320+700)+130*1.2)/1013700</f>
        <v>1.5671601065404</v>
      </c>
      <c r="O9" s="58">
        <v>2</v>
      </c>
      <c r="P9" s="59">
        <f t="shared" ref="P9:P15" si="0">N9*O9</f>
        <v>3.13432021308079</v>
      </c>
      <c r="Q9" s="82"/>
      <c r="R9" s="82"/>
      <c r="S9" s="83"/>
    </row>
    <row r="10" ht="13.8" spans="1:19">
      <c r="A10" s="36"/>
      <c r="B10" s="37"/>
      <c r="C10" s="36" t="s">
        <v>198</v>
      </c>
      <c r="D10" s="36"/>
      <c r="E10" s="38"/>
      <c r="F10" s="39"/>
      <c r="G10" s="40" t="s">
        <v>199</v>
      </c>
      <c r="H10" s="41"/>
      <c r="I10" s="41"/>
      <c r="J10" s="60"/>
      <c r="K10" s="60"/>
      <c r="L10" s="60"/>
      <c r="M10" s="61"/>
      <c r="N10" s="62">
        <f>0.001*7.83+((320+700)+130*1.2)/1013700</f>
        <v>0.00899010654039657</v>
      </c>
      <c r="O10" s="63">
        <v>2</v>
      </c>
      <c r="P10" s="64">
        <f t="shared" si="0"/>
        <v>0.0179802130807931</v>
      </c>
      <c r="Q10" s="84"/>
      <c r="R10" s="84"/>
      <c r="S10" s="85"/>
    </row>
    <row r="11" ht="13.8" spans="1:19">
      <c r="A11" s="36"/>
      <c r="B11" s="37"/>
      <c r="C11" s="36" t="s">
        <v>220</v>
      </c>
      <c r="D11" s="36"/>
      <c r="E11" s="38"/>
      <c r="F11" s="39"/>
      <c r="G11" s="40" t="s">
        <v>221</v>
      </c>
      <c r="H11" s="41"/>
      <c r="I11" s="41"/>
      <c r="J11" s="60"/>
      <c r="K11" s="60"/>
      <c r="L11" s="60"/>
      <c r="M11" s="61"/>
      <c r="N11" s="62">
        <f>0.0836*7.83+((320+700)+130*1.2)/1013700</f>
        <v>0.655748106540397</v>
      </c>
      <c r="O11" s="63">
        <v>1</v>
      </c>
      <c r="P11" s="64">
        <f t="shared" si="0"/>
        <v>0.655748106540397</v>
      </c>
      <c r="Q11" s="84"/>
      <c r="R11" s="84"/>
      <c r="S11" s="85"/>
    </row>
    <row r="12" ht="13.8" spans="1:19">
      <c r="A12" s="36"/>
      <c r="B12" s="37"/>
      <c r="C12" s="36" t="s">
        <v>55</v>
      </c>
      <c r="D12" s="36"/>
      <c r="E12" s="38"/>
      <c r="F12" s="39"/>
      <c r="G12" s="40" t="s">
        <v>56</v>
      </c>
      <c r="H12" s="41"/>
      <c r="I12" s="41"/>
      <c r="J12" s="60"/>
      <c r="K12" s="60"/>
      <c r="L12" s="60"/>
      <c r="M12" s="61"/>
      <c r="N12" s="62">
        <f>0.05*7.83+((320+700)+130*1.2)/1013700</f>
        <v>0.392660106540397</v>
      </c>
      <c r="O12" s="63">
        <v>2</v>
      </c>
      <c r="P12" s="64">
        <f t="shared" si="0"/>
        <v>0.785320213080793</v>
      </c>
      <c r="Q12" s="84"/>
      <c r="R12" s="84"/>
      <c r="S12" s="85"/>
    </row>
    <row r="13" ht="13.8" spans="1:19">
      <c r="A13" s="36"/>
      <c r="B13" s="42"/>
      <c r="C13" s="36" t="s">
        <v>222</v>
      </c>
      <c r="D13" s="36"/>
      <c r="E13" s="38"/>
      <c r="F13" s="39"/>
      <c r="G13" s="40" t="s">
        <v>223</v>
      </c>
      <c r="H13" s="41"/>
      <c r="I13" s="41"/>
      <c r="J13" s="60"/>
      <c r="K13" s="60"/>
      <c r="L13" s="60"/>
      <c r="M13" s="61"/>
      <c r="N13" s="62">
        <f>0.02*7.83+((320+700)+130*1.2)/1013700</f>
        <v>0.157760106540397</v>
      </c>
      <c r="O13" s="63">
        <v>2</v>
      </c>
      <c r="P13" s="64">
        <f t="shared" si="0"/>
        <v>0.315520213080793</v>
      </c>
      <c r="Q13" s="84"/>
      <c r="R13" s="84"/>
      <c r="S13" s="85"/>
    </row>
    <row r="14" ht="13.8" spans="1:19">
      <c r="A14" s="36"/>
      <c r="B14" s="36" t="s">
        <v>166</v>
      </c>
      <c r="C14" s="36" t="s">
        <v>94</v>
      </c>
      <c r="D14" s="36"/>
      <c r="E14" s="38"/>
      <c r="F14" s="39"/>
      <c r="G14" s="40" t="s">
        <v>95</v>
      </c>
      <c r="H14" s="41"/>
      <c r="I14" s="41"/>
      <c r="J14" s="60"/>
      <c r="K14" s="60"/>
      <c r="L14" s="60"/>
      <c r="M14" s="61"/>
      <c r="N14" s="62">
        <f>0.008*7.83+((320+700)+130*1.2)/1013700</f>
        <v>0.0638001065403966</v>
      </c>
      <c r="O14" s="63">
        <v>1</v>
      </c>
      <c r="P14" s="64">
        <f t="shared" si="0"/>
        <v>0.0638001065403966</v>
      </c>
      <c r="Q14" s="84"/>
      <c r="R14" s="84"/>
      <c r="S14" s="85"/>
    </row>
    <row r="15" s="2" customFormat="1" spans="1:19">
      <c r="A15" s="30"/>
      <c r="B15" s="30" t="s">
        <v>224</v>
      </c>
      <c r="C15" s="30" t="s">
        <v>225</v>
      </c>
      <c r="D15" s="30"/>
      <c r="E15" s="32"/>
      <c r="F15" s="33"/>
      <c r="G15" s="43" t="s">
        <v>226</v>
      </c>
      <c r="H15" s="35"/>
      <c r="I15" s="65"/>
      <c r="J15" s="55"/>
      <c r="K15" s="35"/>
      <c r="L15" s="55"/>
      <c r="M15" s="66"/>
      <c r="N15" s="67">
        <f>0.41/1.1*1.2</f>
        <v>0.447272727272727</v>
      </c>
      <c r="O15" s="68">
        <v>1</v>
      </c>
      <c r="P15" s="59">
        <f t="shared" si="0"/>
        <v>0.447272727272727</v>
      </c>
      <c r="Q15" s="82"/>
      <c r="R15" s="82"/>
      <c r="S15" s="83"/>
    </row>
    <row r="16" s="2" customFormat="1" spans="1:19">
      <c r="A16" s="30"/>
      <c r="B16" s="30" t="s">
        <v>227</v>
      </c>
      <c r="C16" s="30" t="s">
        <v>228</v>
      </c>
      <c r="D16" s="30"/>
      <c r="E16" s="44"/>
      <c r="F16" s="33"/>
      <c r="G16" s="45">
        <v>1504</v>
      </c>
      <c r="H16" s="35"/>
      <c r="I16" s="35"/>
      <c r="J16" s="55"/>
      <c r="K16" s="55"/>
      <c r="L16" s="69"/>
      <c r="M16" s="70"/>
      <c r="N16" s="67">
        <f>1.01/1.1*1.2</f>
        <v>1.10181818181818</v>
      </c>
      <c r="O16" s="68">
        <v>1</v>
      </c>
      <c r="P16" s="59">
        <f t="shared" ref="P16:P25" si="1">N16*O16</f>
        <v>1.10181818181818</v>
      </c>
      <c r="Q16" s="82"/>
      <c r="R16" s="82"/>
      <c r="S16" s="83"/>
    </row>
    <row r="17" ht="13.8" spans="1:19">
      <c r="A17" s="36"/>
      <c r="B17" s="31" t="s">
        <v>99</v>
      </c>
      <c r="C17" s="36" t="s">
        <v>130</v>
      </c>
      <c r="D17" s="36"/>
      <c r="E17" s="38"/>
      <c r="F17" s="39"/>
      <c r="G17" s="46" t="s">
        <v>131</v>
      </c>
      <c r="H17" s="41"/>
      <c r="I17" s="41"/>
      <c r="J17" s="60"/>
      <c r="K17" s="60"/>
      <c r="L17" s="71"/>
      <c r="M17" s="72"/>
      <c r="N17" s="62">
        <f>0.00042*7.83+((320+700)+130*1.2)/1013700</f>
        <v>0.00444870654039657</v>
      </c>
      <c r="O17" s="73">
        <v>1</v>
      </c>
      <c r="P17" s="64">
        <f t="shared" si="1"/>
        <v>0.00444870654039657</v>
      </c>
      <c r="Q17" s="84"/>
      <c r="R17" s="84"/>
      <c r="S17" s="85"/>
    </row>
    <row r="18" ht="13.8" spans="1:19">
      <c r="A18" s="36"/>
      <c r="B18" s="37"/>
      <c r="C18" s="36" t="s">
        <v>229</v>
      </c>
      <c r="D18" s="36"/>
      <c r="E18" s="38"/>
      <c r="F18" s="39"/>
      <c r="G18" s="46" t="s">
        <v>230</v>
      </c>
      <c r="H18" s="41"/>
      <c r="I18" s="41"/>
      <c r="J18" s="60"/>
      <c r="K18" s="60"/>
      <c r="L18" s="71"/>
      <c r="M18" s="72"/>
      <c r="N18" s="62">
        <f>0.00042*7.83+((320+700)+130*1.2)/1013700</f>
        <v>0.00444870654039657</v>
      </c>
      <c r="O18" s="73">
        <v>1</v>
      </c>
      <c r="P18" s="64">
        <f t="shared" si="1"/>
        <v>0.00444870654039657</v>
      </c>
      <c r="Q18" s="84"/>
      <c r="R18" s="84"/>
      <c r="S18" s="85"/>
    </row>
    <row r="19" ht="13.8" spans="1:19">
      <c r="A19" s="36"/>
      <c r="B19" s="37"/>
      <c r="C19" s="36" t="s">
        <v>112</v>
      </c>
      <c r="D19" s="36"/>
      <c r="E19" s="47"/>
      <c r="F19" s="39"/>
      <c r="G19" s="46" t="s">
        <v>113</v>
      </c>
      <c r="H19" s="41"/>
      <c r="I19" s="41"/>
      <c r="J19" s="60"/>
      <c r="K19" s="60"/>
      <c r="L19" s="71"/>
      <c r="M19" s="72"/>
      <c r="N19" s="62">
        <f>0.00055*7.83+((320+700)+130*1.2)/1013700</f>
        <v>0.00546660654039657</v>
      </c>
      <c r="O19" s="73">
        <v>1</v>
      </c>
      <c r="P19" s="64">
        <f t="shared" si="1"/>
        <v>0.00546660654039657</v>
      </c>
      <c r="Q19" s="84"/>
      <c r="R19" s="84"/>
      <c r="S19" s="85"/>
    </row>
    <row r="20" ht="13.8" spans="1:19">
      <c r="A20" s="36"/>
      <c r="B20" s="37"/>
      <c r="C20" s="36" t="s">
        <v>106</v>
      </c>
      <c r="D20" s="36"/>
      <c r="E20" s="48"/>
      <c r="F20" s="49"/>
      <c r="G20" s="46" t="s">
        <v>107</v>
      </c>
      <c r="H20" s="41"/>
      <c r="I20" s="41"/>
      <c r="J20" s="60"/>
      <c r="K20" s="60"/>
      <c r="L20" s="71"/>
      <c r="M20" s="72"/>
      <c r="N20" s="62">
        <f>0.00042*7.83+((320+700)+130*1.2)/1013700</f>
        <v>0.00444870654039657</v>
      </c>
      <c r="O20" s="73">
        <v>1</v>
      </c>
      <c r="P20" s="64">
        <f t="shared" si="1"/>
        <v>0.00444870654039657</v>
      </c>
      <c r="Q20" s="84"/>
      <c r="R20" s="84"/>
      <c r="S20" s="85"/>
    </row>
    <row r="21" ht="13.8" spans="1:19">
      <c r="A21" s="36"/>
      <c r="B21" s="37"/>
      <c r="C21" s="36" t="s">
        <v>120</v>
      </c>
      <c r="D21" s="36"/>
      <c r="E21" s="48"/>
      <c r="F21" s="49"/>
      <c r="G21" s="46" t="s">
        <v>121</v>
      </c>
      <c r="H21" s="41"/>
      <c r="I21" s="41"/>
      <c r="J21" s="60"/>
      <c r="K21" s="60"/>
      <c r="L21" s="71"/>
      <c r="M21" s="72"/>
      <c r="N21" s="62">
        <f>0.00055*7.83+((320+700)+130*1.2)/1013700</f>
        <v>0.00546660654039657</v>
      </c>
      <c r="O21" s="73">
        <v>1</v>
      </c>
      <c r="P21" s="64">
        <f t="shared" si="1"/>
        <v>0.00546660654039657</v>
      </c>
      <c r="Q21" s="84"/>
      <c r="R21" s="84"/>
      <c r="S21" s="85"/>
    </row>
    <row r="22" ht="13.8" spans="1:19">
      <c r="A22" s="36"/>
      <c r="B22" s="37"/>
      <c r="C22" s="36" t="s">
        <v>231</v>
      </c>
      <c r="D22" s="36"/>
      <c r="E22" s="38"/>
      <c r="F22" s="49"/>
      <c r="G22" s="46" t="s">
        <v>232</v>
      </c>
      <c r="H22" s="41"/>
      <c r="I22" s="41"/>
      <c r="J22" s="60"/>
      <c r="K22" s="60"/>
      <c r="L22" s="71"/>
      <c r="M22" s="72"/>
      <c r="N22" s="62">
        <f>0.00042*7.83+((320+700)+130*1.2)/1013700</f>
        <v>0.00444870654039657</v>
      </c>
      <c r="O22" s="73">
        <v>1</v>
      </c>
      <c r="P22" s="64">
        <f t="shared" si="1"/>
        <v>0.00444870654039657</v>
      </c>
      <c r="Q22" s="84"/>
      <c r="R22" s="84"/>
      <c r="S22" s="85"/>
    </row>
    <row r="23" ht="13.8" spans="1:19">
      <c r="A23" s="36"/>
      <c r="B23" s="37"/>
      <c r="C23" s="36" t="s">
        <v>233</v>
      </c>
      <c r="D23" s="36"/>
      <c r="E23" s="36"/>
      <c r="F23" s="49"/>
      <c r="G23" s="46" t="s">
        <v>234</v>
      </c>
      <c r="H23" s="41"/>
      <c r="I23" s="41"/>
      <c r="J23" s="60"/>
      <c r="K23" s="60"/>
      <c r="L23" s="71"/>
      <c r="M23" s="72"/>
      <c r="N23" s="62">
        <f>0.00055*7.83+((320+700)+130*1.2)/1013700</f>
        <v>0.00546660654039657</v>
      </c>
      <c r="O23" s="73">
        <v>2</v>
      </c>
      <c r="P23" s="64">
        <f t="shared" si="1"/>
        <v>0.0109332130807931</v>
      </c>
      <c r="Q23" s="86"/>
      <c r="R23" s="86"/>
      <c r="S23" s="87"/>
    </row>
    <row r="24" ht="13.8" spans="1:19">
      <c r="A24" s="36"/>
      <c r="B24" s="42"/>
      <c r="C24" s="36" t="s">
        <v>235</v>
      </c>
      <c r="D24" s="36"/>
      <c r="E24" s="36"/>
      <c r="F24" s="49"/>
      <c r="G24" s="46" t="s">
        <v>236</v>
      </c>
      <c r="H24" s="41"/>
      <c r="I24" s="41"/>
      <c r="J24" s="60"/>
      <c r="K24" s="60"/>
      <c r="L24" s="71"/>
      <c r="M24" s="72"/>
      <c r="N24" s="62">
        <f>0.00042*7.83+((320+700)+130*1.2)/1013700</f>
        <v>0.00444870654039657</v>
      </c>
      <c r="O24" s="73">
        <v>1</v>
      </c>
      <c r="P24" s="64">
        <f t="shared" si="1"/>
        <v>0.00444870654039657</v>
      </c>
      <c r="Q24" s="86"/>
      <c r="R24" s="86"/>
      <c r="S24" s="87"/>
    </row>
    <row r="25" s="1" customFormat="1" ht="16.35" spans="1:19">
      <c r="A25" s="36"/>
      <c r="B25" s="36" t="s">
        <v>142</v>
      </c>
      <c r="C25" s="36" t="s">
        <v>143</v>
      </c>
      <c r="D25" s="36"/>
      <c r="E25" s="36"/>
      <c r="F25" s="49"/>
      <c r="G25" s="45" t="s">
        <v>237</v>
      </c>
      <c r="H25" s="41"/>
      <c r="I25" s="41"/>
      <c r="J25" s="60"/>
      <c r="K25" s="60"/>
      <c r="L25" s="71"/>
      <c r="M25" s="72"/>
      <c r="N25" s="62">
        <f>0.172*7.83+((320+700)+130*1.2)/1013700</f>
        <v>1.3479201065404</v>
      </c>
      <c r="O25" s="73">
        <v>1</v>
      </c>
      <c r="P25" s="74">
        <f t="shared" si="1"/>
        <v>1.3479201065404</v>
      </c>
      <c r="Q25" s="88"/>
      <c r="R25" s="89"/>
      <c r="S25" s="90"/>
    </row>
    <row r="26" ht="14.55" spans="1:19">
      <c r="A26" s="50" t="s">
        <v>195</v>
      </c>
      <c r="B26" s="51" t="s">
        <v>196</v>
      </c>
      <c r="C26" s="24"/>
      <c r="D26" s="24"/>
      <c r="E26" s="24"/>
      <c r="F26" s="24"/>
      <c r="G26" s="24"/>
      <c r="H26" s="24"/>
      <c r="I26" s="24"/>
      <c r="J26" s="24"/>
      <c r="K26" s="24"/>
      <c r="L26" s="75"/>
      <c r="M26" s="76"/>
      <c r="N26" s="76"/>
      <c r="O26" s="76"/>
      <c r="P26" s="77">
        <f>SUM(P9:P25)</f>
        <v>7.91381003989884</v>
      </c>
      <c r="Q26" s="91"/>
      <c r="R26" s="75"/>
      <c r="S26" s="91"/>
    </row>
  </sheetData>
  <mergeCells count="9">
    <mergeCell ref="A1:B1"/>
    <mergeCell ref="A2:B2"/>
    <mergeCell ref="A3:B3"/>
    <mergeCell ref="A4:B4"/>
    <mergeCell ref="A5:B5"/>
    <mergeCell ref="G7:S7"/>
    <mergeCell ref="Q8:S8"/>
    <mergeCell ref="B9:B13"/>
    <mergeCell ref="B17:B24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9 3 0 E C E 7 6 1 7 F D F C 4 4 8 3 1 0 E 1 E 8 0 E 6 5 1 8 9 8 "   m a : c o n t e n t T y p e V e r s i o n = " 0 "   m a : c o n t e n t T y p e D e s c r i p t i o n = " C r e a t e   a   n e w   d o c u m e n t . "   m a : c o n t e n t T y p e S c o p e = " "   m a : v e r s i o n I D = " 3 e 2 a 8 c d 3 6 3 4 4 3 7 9 b b 3 0 4 5 7 7 b 5 c d 0 0 c 3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8 0 9 6 1 f 0 4 f 7 7 2 4 1 9 9 5 f f 3 3 1 2 7 d 9 9 2 1 8 e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112AA6C5-47AD-4768-87AE-0A75D000D1B6}">
  <ds:schemaRefs/>
</ds:datastoreItem>
</file>

<file path=customXml/itemProps2.xml><?xml version="1.0" encoding="utf-8"?>
<ds:datastoreItem xmlns:ds="http://schemas.openxmlformats.org/officeDocument/2006/customXml" ds:itemID="{945CC860-7B5B-4C51-93B0-F8AD478B4D11}">
  <ds:schemaRefs/>
</ds:datastoreItem>
</file>

<file path=customXml/itemProps3.xml><?xml version="1.0" encoding="utf-8"?>
<ds:datastoreItem xmlns:ds="http://schemas.openxmlformats.org/officeDocument/2006/customXml" ds:itemID="{6F733012-E209-49E5-A913-5D985F0839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Philips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Android</vt:lpstr>
      <vt:lpstr>Sensor</vt:lpstr>
      <vt:lpstr>Camera</vt:lpstr>
      <vt:lpstr>Audio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Microsoft Office 用户</cp:lastModifiedBy>
  <dcterms:created xsi:type="dcterms:W3CDTF">2017-05-09T11:06:00Z</dcterms:created>
  <dcterms:modified xsi:type="dcterms:W3CDTF">2017-10-25T07:51:57Z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0x010100930ECE7617FDFC448310E1E80E651898</vt:lpwstr>
  </property>
  <property fmtid="{D5CDD505-2E9C-101B-9397-08002B2CF9AE}" pid="3" name="KSOProductBuildVer">
    <vt:lpwstr>2052-10.8.0.6058</vt:lpwstr>
  </property>
</Properties>
</file>