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EstaPasta_de_trabalho" defaultThemeVersion="124226"/>
  <bookViews>
    <workbookView xWindow="360" yWindow="105" windowWidth="9480" windowHeight="9375" tabRatio="601"/>
  </bookViews>
  <sheets>
    <sheet name="Control Pannel" sheetId="6" r:id="rId1"/>
    <sheet name="Income Statement" sheetId="7" r:id="rId2"/>
    <sheet name="Cash Flow" sheetId="8" r:id="rId3"/>
    <sheet name="CERs" sheetId="9" r:id="rId4"/>
    <sheet name="Sensitivity Analysis" sheetId="10" r:id="rId5"/>
  </sheets>
  <calcPr calcId="125725"/>
</workbook>
</file>

<file path=xl/calcChain.xml><?xml version="1.0" encoding="utf-8"?>
<calcChain xmlns="http://schemas.openxmlformats.org/spreadsheetml/2006/main">
  <c r="G44" i="7"/>
  <c r="H42"/>
  <c r="Y26"/>
  <c r="B5" i="9"/>
  <c r="F39" i="6" l="1"/>
  <c r="H1" i="8" l="1"/>
  <c r="F30" i="6"/>
  <c r="Y15" i="7" s="1"/>
  <c r="J41" i="6" l="1"/>
  <c r="J43"/>
  <c r="C5" l="1"/>
  <c r="C7" i="10" s="1"/>
  <c r="C3" s="1"/>
  <c r="F31" i="6"/>
  <c r="Y14" i="7" s="1"/>
  <c r="D18" i="6" l="1"/>
  <c r="M26" i="7"/>
  <c r="K25"/>
  <c r="F33"/>
  <c r="F30" s="1"/>
  <c r="F8" i="8" s="1"/>
  <c r="E33" i="7"/>
  <c r="E30"/>
  <c r="E8" i="8" s="1"/>
  <c r="C18" i="10"/>
  <c r="C14" s="1"/>
  <c r="J14" i="7"/>
  <c r="G15"/>
  <c r="B2" i="9"/>
  <c r="E23" i="7"/>
  <c r="F23"/>
  <c r="G23"/>
  <c r="J27" i="6"/>
  <c r="J38" s="1"/>
  <c r="F18" i="7"/>
  <c r="F17" s="1"/>
  <c r="F20" s="1"/>
  <c r="F6" i="8" s="1"/>
  <c r="W14" i="7"/>
  <c r="S14"/>
  <c r="O14"/>
  <c r="C28" i="10"/>
  <c r="C32" s="1"/>
  <c r="X14" i="7"/>
  <c r="T14"/>
  <c r="P14"/>
  <c r="L14"/>
  <c r="H14"/>
  <c r="K14"/>
  <c r="U14"/>
  <c r="Q14"/>
  <c r="M14"/>
  <c r="I14"/>
  <c r="G14"/>
  <c r="V14"/>
  <c r="R14"/>
  <c r="N14"/>
  <c r="E18"/>
  <c r="E17"/>
  <c r="E20" s="1"/>
  <c r="E6" i="8" s="1"/>
  <c r="C26" i="10" l="1"/>
  <c r="B4" i="9"/>
  <c r="B8" s="1"/>
  <c r="B10" s="1"/>
  <c r="Y17" i="8" s="1"/>
  <c r="L25" i="7"/>
  <c r="H25"/>
  <c r="X25"/>
  <c r="P25"/>
  <c r="T25"/>
  <c r="Y25"/>
  <c r="U25"/>
  <c r="Q25"/>
  <c r="M25"/>
  <c r="I25"/>
  <c r="V25"/>
  <c r="R25"/>
  <c r="N25"/>
  <c r="J25"/>
  <c r="W25"/>
  <c r="S25"/>
  <c r="O25"/>
  <c r="C30" i="10"/>
  <c r="I15" i="7"/>
  <c r="I13" s="1"/>
  <c r="I31" s="1"/>
  <c r="L15"/>
  <c r="L13" s="1"/>
  <c r="L31" s="1"/>
  <c r="Y13"/>
  <c r="Y31" s="1"/>
  <c r="K15"/>
  <c r="K13" s="1"/>
  <c r="K31" s="1"/>
  <c r="H15"/>
  <c r="H13" s="1"/>
  <c r="R15"/>
  <c r="R13" s="1"/>
  <c r="R31" s="1"/>
  <c r="V15"/>
  <c r="V13" s="1"/>
  <c r="V31" s="1"/>
  <c r="M15"/>
  <c r="M13" s="1"/>
  <c r="M31" s="1"/>
  <c r="U15"/>
  <c r="U13" s="1"/>
  <c r="U31" s="1"/>
  <c r="Q15"/>
  <c r="Q13" s="1"/>
  <c r="Q31" s="1"/>
  <c r="N15"/>
  <c r="N13" s="1"/>
  <c r="N31" s="1"/>
  <c r="J15"/>
  <c r="J13" s="1"/>
  <c r="J31" s="1"/>
  <c r="T15"/>
  <c r="T13" s="1"/>
  <c r="T31" s="1"/>
  <c r="O15"/>
  <c r="O13" s="1"/>
  <c r="O31" s="1"/>
  <c r="S15"/>
  <c r="S13" s="1"/>
  <c r="S31" s="1"/>
  <c r="C39" i="10"/>
  <c r="C43" s="1"/>
  <c r="X15" i="7"/>
  <c r="X13" s="1"/>
  <c r="X31" s="1"/>
  <c r="P15"/>
  <c r="P13" s="1"/>
  <c r="P31" s="1"/>
  <c r="J32" i="6"/>
  <c r="J34" s="1"/>
  <c r="W15" i="7"/>
  <c r="W13" s="1"/>
  <c r="W31" s="1"/>
  <c r="J39" i="6"/>
  <c r="C29" i="10"/>
  <c r="C31"/>
  <c r="C27"/>
  <c r="C25"/>
  <c r="G13" i="7"/>
  <c r="G33" s="1"/>
  <c r="T26"/>
  <c r="O26"/>
  <c r="I26"/>
  <c r="U26"/>
  <c r="K26"/>
  <c r="H26"/>
  <c r="W26"/>
  <c r="Q26"/>
  <c r="L26"/>
  <c r="J26"/>
  <c r="P26"/>
  <c r="X26"/>
  <c r="S26"/>
  <c r="C17" i="10"/>
  <c r="C20"/>
  <c r="C21"/>
  <c r="C15"/>
  <c r="C16"/>
  <c r="C19"/>
  <c r="V26" i="7"/>
  <c r="R26"/>
  <c r="N26"/>
  <c r="H40" l="1"/>
  <c r="H41" s="1"/>
  <c r="H44" s="1"/>
  <c r="H31"/>
  <c r="Y23"/>
  <c r="I23"/>
  <c r="M23"/>
  <c r="Q23"/>
  <c r="U23"/>
  <c r="H23"/>
  <c r="O23"/>
  <c r="W23"/>
  <c r="R23"/>
  <c r="L23"/>
  <c r="P23"/>
  <c r="T23"/>
  <c r="X23"/>
  <c r="K23"/>
  <c r="S23"/>
  <c r="N23"/>
  <c r="V23"/>
  <c r="J23"/>
  <c r="S17" i="8"/>
  <c r="G17"/>
  <c r="F17"/>
  <c r="E17"/>
  <c r="T18" i="7"/>
  <c r="T17" s="1"/>
  <c r="T20" s="1"/>
  <c r="T6" i="8" s="1"/>
  <c r="N33" i="7"/>
  <c r="I33"/>
  <c r="W33"/>
  <c r="X33"/>
  <c r="J33"/>
  <c r="Q18"/>
  <c r="Q17" s="1"/>
  <c r="Q20" s="1"/>
  <c r="Q6" i="8" s="1"/>
  <c r="M33" i="7"/>
  <c r="R18"/>
  <c r="R17" s="1"/>
  <c r="R20" s="1"/>
  <c r="R6" i="8" s="1"/>
  <c r="K18" i="7"/>
  <c r="K17" s="1"/>
  <c r="K20" s="1"/>
  <c r="K6" i="8" s="1"/>
  <c r="L18" i="7"/>
  <c r="L17" s="1"/>
  <c r="L20" s="1"/>
  <c r="L6" i="8" s="1"/>
  <c r="E7" i="6"/>
  <c r="F22" i="8" s="1"/>
  <c r="E6" i="6"/>
  <c r="E22" i="8" s="1"/>
  <c r="E8" i="6"/>
  <c r="C40" i="10"/>
  <c r="V33" i="7"/>
  <c r="C42" i="10"/>
  <c r="C38"/>
  <c r="C36"/>
  <c r="C41"/>
  <c r="Y33" i="7"/>
  <c r="Y30" s="1"/>
  <c r="Y8" i="8" s="1"/>
  <c r="N18" i="7"/>
  <c r="N17" s="1"/>
  <c r="N20" s="1"/>
  <c r="N6" i="8" s="1"/>
  <c r="V18" i="7"/>
  <c r="V17" s="1"/>
  <c r="V20" s="1"/>
  <c r="V6" i="8" s="1"/>
  <c r="C37" i="10"/>
  <c r="W18" i="7"/>
  <c r="W17" s="1"/>
  <c r="W20" s="1"/>
  <c r="W6" i="8" s="1"/>
  <c r="O33" i="7"/>
  <c r="O30" s="1"/>
  <c r="O8" i="8" s="1"/>
  <c r="Q33" i="7"/>
  <c r="Y18"/>
  <c r="Y17" s="1"/>
  <c r="Y20" s="1"/>
  <c r="Y6" i="8" s="1"/>
  <c r="U33" i="7"/>
  <c r="U30" s="1"/>
  <c r="U8" i="8" s="1"/>
  <c r="L17"/>
  <c r="K17"/>
  <c r="X17"/>
  <c r="V17"/>
  <c r="J17"/>
  <c r="I17"/>
  <c r="N17"/>
  <c r="U17"/>
  <c r="M17"/>
  <c r="Q17"/>
  <c r="T17"/>
  <c r="H17"/>
  <c r="R17"/>
  <c r="O17"/>
  <c r="P17"/>
  <c r="W17"/>
  <c r="L33" i="7"/>
  <c r="P33"/>
  <c r="P30" s="1"/>
  <c r="P8" i="8" s="1"/>
  <c r="S33" i="7"/>
  <c r="S30" s="1"/>
  <c r="S8" i="8" s="1"/>
  <c r="I18" i="7"/>
  <c r="I17" s="1"/>
  <c r="I20" s="1"/>
  <c r="I6" i="8" s="1"/>
  <c r="T33" i="7"/>
  <c r="K33"/>
  <c r="X18"/>
  <c r="X17" s="1"/>
  <c r="X20" s="1"/>
  <c r="X6" i="8" s="1"/>
  <c r="S18" i="7"/>
  <c r="S17" s="1"/>
  <c r="S20" s="1"/>
  <c r="S6" i="8" s="1"/>
  <c r="M18" i="7"/>
  <c r="M17" s="1"/>
  <c r="M20" s="1"/>
  <c r="M6" i="8" s="1"/>
  <c r="H18" i="7"/>
  <c r="H17" s="1"/>
  <c r="H20" s="1"/>
  <c r="H6" i="8" s="1"/>
  <c r="U18" i="7"/>
  <c r="U17" s="1"/>
  <c r="U20" s="1"/>
  <c r="U6" i="8" s="1"/>
  <c r="H33" i="7"/>
  <c r="O18"/>
  <c r="O17" s="1"/>
  <c r="O20" s="1"/>
  <c r="O6" i="8" s="1"/>
  <c r="J18" i="7"/>
  <c r="J17" s="1"/>
  <c r="J20" s="1"/>
  <c r="J6" i="8" s="1"/>
  <c r="P18" i="7"/>
  <c r="P17" s="1"/>
  <c r="P20" s="1"/>
  <c r="P6" i="8" s="1"/>
  <c r="G18" i="7"/>
  <c r="G17" s="1"/>
  <c r="G20" s="1"/>
  <c r="G6" i="8" s="1"/>
  <c r="G30" i="7"/>
  <c r="G8" i="8" s="1"/>
  <c r="R33" i="7"/>
  <c r="H30" l="1"/>
  <c r="H8" i="8" s="1"/>
  <c r="H46" i="7"/>
  <c r="H45"/>
  <c r="W30"/>
  <c r="W8" i="8" s="1"/>
  <c r="X30" i="7"/>
  <c r="X8" i="8" s="1"/>
  <c r="M30" i="7"/>
  <c r="M8" i="8" s="1"/>
  <c r="J30" i="7"/>
  <c r="J8" i="8" s="1"/>
  <c r="I30" i="7"/>
  <c r="I8" i="8" s="1"/>
  <c r="N30" i="7"/>
  <c r="N8" i="8" s="1"/>
  <c r="V30" i="7"/>
  <c r="V8" i="8" s="1"/>
  <c r="Q30" i="7"/>
  <c r="Q8" i="8" s="1"/>
  <c r="T30" i="7"/>
  <c r="T8" i="8" s="1"/>
  <c r="K30" i="7"/>
  <c r="K8" i="8" s="1"/>
  <c r="L30" i="7"/>
  <c r="L8" i="8" s="1"/>
  <c r="R30" i="7"/>
  <c r="R8" i="8" s="1"/>
  <c r="H48" i="7" l="1"/>
  <c r="E22"/>
  <c r="E7" i="8" l="1"/>
  <c r="E9" s="1"/>
  <c r="E28" i="7"/>
  <c r="E36" s="1"/>
  <c r="F22"/>
  <c r="E11" i="8" l="1"/>
  <c r="E13"/>
  <c r="G22" i="7"/>
  <c r="F28"/>
  <c r="F36" s="1"/>
  <c r="F7" i="8"/>
  <c r="F9" s="1"/>
  <c r="F13" s="1"/>
  <c r="E14" l="1"/>
  <c r="F10"/>
  <c r="F11" s="1"/>
  <c r="G28" i="7"/>
  <c r="G36" s="1"/>
  <c r="G7" i="8"/>
  <c r="G9" s="1"/>
  <c r="G13" s="1"/>
  <c r="G22" l="1"/>
  <c r="G23" s="1"/>
  <c r="G10"/>
  <c r="G11" s="1"/>
  <c r="F14"/>
  <c r="F15"/>
  <c r="G14" l="1"/>
  <c r="H10"/>
  <c r="G15"/>
  <c r="J40" i="6" l="1"/>
  <c r="H24" i="7" s="1"/>
  <c r="H22" s="1"/>
  <c r="H28" l="1"/>
  <c r="H36" s="1"/>
  <c r="H7" i="8"/>
  <c r="H9" s="1"/>
  <c r="T24" i="7"/>
  <c r="T22" s="1"/>
  <c r="L24"/>
  <c r="L22" s="1"/>
  <c r="M24"/>
  <c r="M22" s="1"/>
  <c r="Q24"/>
  <c r="Q22" s="1"/>
  <c r="Y24"/>
  <c r="Y22" s="1"/>
  <c r="Y7" i="8" s="1"/>
  <c r="I24" i="7"/>
  <c r="I22" s="1"/>
  <c r="V24"/>
  <c r="V22" s="1"/>
  <c r="P24"/>
  <c r="P22" s="1"/>
  <c r="J24"/>
  <c r="J22" s="1"/>
  <c r="U24"/>
  <c r="U22" s="1"/>
  <c r="J47" i="6"/>
  <c r="O24" i="7"/>
  <c r="O22" s="1"/>
  <c r="S24"/>
  <c r="S22" s="1"/>
  <c r="W24"/>
  <c r="W22" s="1"/>
  <c r="N24"/>
  <c r="N22" s="1"/>
  <c r="K24"/>
  <c r="K22" s="1"/>
  <c r="X24"/>
  <c r="X22" s="1"/>
  <c r="R24"/>
  <c r="R22" s="1"/>
  <c r="F23" i="8" l="1"/>
  <c r="R7"/>
  <c r="R9" s="1"/>
  <c r="R28" i="7"/>
  <c r="R36" s="1"/>
  <c r="P28"/>
  <c r="P36" s="1"/>
  <c r="P7" i="8"/>
  <c r="P9" s="1"/>
  <c r="Q28" i="7"/>
  <c r="Q36" s="1"/>
  <c r="Q7" i="8"/>
  <c r="Q9" s="1"/>
  <c r="T7"/>
  <c r="T9" s="1"/>
  <c r="T28" i="7"/>
  <c r="T36" s="1"/>
  <c r="C4" i="10"/>
  <c r="C10"/>
  <c r="C6"/>
  <c r="C9"/>
  <c r="C8"/>
  <c r="C5"/>
  <c r="Y9" i="8"/>
  <c r="Y28" i="7"/>
  <c r="Y36" s="1"/>
  <c r="L7" i="8"/>
  <c r="L9" s="1"/>
  <c r="L28" i="7"/>
  <c r="L36" s="1"/>
  <c r="W28"/>
  <c r="W36" s="1"/>
  <c r="W7" i="8"/>
  <c r="W9" s="1"/>
  <c r="K28" i="7"/>
  <c r="K36" s="1"/>
  <c r="K7" i="8"/>
  <c r="K9" s="1"/>
  <c r="O28" i="7"/>
  <c r="O36" s="1"/>
  <c r="O7" i="8"/>
  <c r="O9" s="1"/>
  <c r="J28" i="7"/>
  <c r="J36" s="1"/>
  <c r="J7" i="8"/>
  <c r="J9" s="1"/>
  <c r="I28" i="7"/>
  <c r="I36" s="1"/>
  <c r="I7" i="8"/>
  <c r="I9" s="1"/>
  <c r="E23"/>
  <c r="N7"/>
  <c r="N9" s="1"/>
  <c r="N28" i="7"/>
  <c r="N36" s="1"/>
  <c r="X7" i="8"/>
  <c r="X9" s="1"/>
  <c r="X28" i="7"/>
  <c r="X36" s="1"/>
  <c r="S28"/>
  <c r="S36" s="1"/>
  <c r="S7" i="8"/>
  <c r="S9" s="1"/>
  <c r="U28" i="7"/>
  <c r="U36" s="1"/>
  <c r="U7" i="8"/>
  <c r="U9" s="1"/>
  <c r="V7"/>
  <c r="V9" s="1"/>
  <c r="V28" i="7"/>
  <c r="V36" s="1"/>
  <c r="M7" i="8"/>
  <c r="M9" s="1"/>
  <c r="M28" i="7"/>
  <c r="M36" s="1"/>
  <c r="H11" i="8"/>
  <c r="H13"/>
  <c r="H22" s="1"/>
  <c r="U13" l="1"/>
  <c r="U22" s="1"/>
  <c r="V13"/>
  <c r="V22" s="1"/>
  <c r="N13"/>
  <c r="N22" s="1"/>
  <c r="R13"/>
  <c r="R22" s="1"/>
  <c r="I10"/>
  <c r="I11" s="1"/>
  <c r="H15"/>
  <c r="H14"/>
  <c r="S13"/>
  <c r="S22" s="1"/>
  <c r="J13"/>
  <c r="J22" s="1"/>
  <c r="K13"/>
  <c r="K22" s="1"/>
  <c r="Y13"/>
  <c r="Y22" s="1"/>
  <c r="Q13"/>
  <c r="Q22" s="1"/>
  <c r="M13"/>
  <c r="M22" s="1"/>
  <c r="X13"/>
  <c r="Y10" s="1"/>
  <c r="T13"/>
  <c r="T22" s="1"/>
  <c r="I13"/>
  <c r="I22" s="1"/>
  <c r="O13"/>
  <c r="O22" s="1"/>
  <c r="W13"/>
  <c r="W22" s="1"/>
  <c r="L13"/>
  <c r="L22" s="1"/>
  <c r="P13"/>
  <c r="P22" s="1"/>
  <c r="X22" l="1"/>
  <c r="X23" s="1"/>
  <c r="Y11"/>
  <c r="J10"/>
  <c r="J11" s="1"/>
  <c r="I23"/>
  <c r="I14"/>
  <c r="J15"/>
  <c r="T10"/>
  <c r="T11" s="1"/>
  <c r="S14"/>
  <c r="T15"/>
  <c r="S23"/>
  <c r="X10"/>
  <c r="X11" s="1"/>
  <c r="W23"/>
  <c r="X15"/>
  <c r="Y15"/>
  <c r="Q14"/>
  <c r="Q23"/>
  <c r="R15"/>
  <c r="R10"/>
  <c r="R11" s="1"/>
  <c r="K14"/>
  <c r="L15"/>
  <c r="L10"/>
  <c r="L11" s="1"/>
  <c r="V10"/>
  <c r="V11" s="1"/>
  <c r="V15"/>
  <c r="U23"/>
  <c r="I15"/>
  <c r="Q10"/>
  <c r="Q11" s="1"/>
  <c r="P14"/>
  <c r="Q15"/>
  <c r="P23"/>
  <c r="U15"/>
  <c r="U10"/>
  <c r="U11" s="1"/>
  <c r="T23"/>
  <c r="Y23"/>
  <c r="J14"/>
  <c r="K15"/>
  <c r="J23"/>
  <c r="K10"/>
  <c r="K11" s="1"/>
  <c r="H23"/>
  <c r="S15"/>
  <c r="S10"/>
  <c r="S11" s="1"/>
  <c r="R23"/>
  <c r="R14"/>
  <c r="O10"/>
  <c r="O11" s="1"/>
  <c r="O15"/>
  <c r="N23"/>
  <c r="N14"/>
  <c r="L14"/>
  <c r="L23"/>
  <c r="M15"/>
  <c r="M10"/>
  <c r="M11" s="1"/>
  <c r="P15"/>
  <c r="O23"/>
  <c r="O14"/>
  <c r="P10"/>
  <c r="P11" s="1"/>
  <c r="N15"/>
  <c r="M23"/>
  <c r="N10"/>
  <c r="N11" s="1"/>
  <c r="M14"/>
  <c r="W15"/>
  <c r="W10"/>
  <c r="W11" s="1"/>
  <c r="V23"/>
  <c r="K23" l="1"/>
  <c r="B26" s="1"/>
  <c r="B25"/>
  <c r="H13" i="6" s="1"/>
  <c r="B19" i="8"/>
  <c r="B39" i="10" l="1"/>
  <c r="B7"/>
  <c r="B28"/>
  <c r="B18"/>
</calcChain>
</file>

<file path=xl/sharedStrings.xml><?xml version="1.0" encoding="utf-8"?>
<sst xmlns="http://schemas.openxmlformats.org/spreadsheetml/2006/main" count="148" uniqueCount="118">
  <si>
    <t>PIS / COFINS</t>
  </si>
  <si>
    <t>TIR</t>
  </si>
  <si>
    <t>PAY BACK</t>
  </si>
  <si>
    <t>R$</t>
  </si>
  <si>
    <t>CERs</t>
  </si>
  <si>
    <t>Investment</t>
  </si>
  <si>
    <t>Electricity Generation</t>
  </si>
  <si>
    <t>Variation</t>
  </si>
  <si>
    <t>IRR</t>
  </si>
  <si>
    <t>Year 1</t>
  </si>
  <si>
    <t>Year 2</t>
  </si>
  <si>
    <t>Year 3</t>
  </si>
  <si>
    <t>Year 4</t>
  </si>
  <si>
    <t>Year 5</t>
  </si>
  <si>
    <t>Year 6</t>
  </si>
  <si>
    <t>Year 7</t>
  </si>
  <si>
    <t>Year 8</t>
  </si>
  <si>
    <t>Year 9</t>
  </si>
  <si>
    <t>Year 10</t>
  </si>
  <si>
    <t>Years</t>
  </si>
  <si>
    <t>p.y.</t>
  </si>
  <si>
    <t>VALUES IN BRL</t>
  </si>
  <si>
    <t>Description</t>
  </si>
  <si>
    <t>Total Investments</t>
  </si>
  <si>
    <t>2. GROSS REVENUE / YEAR</t>
  </si>
  <si>
    <t>MWh/year</t>
  </si>
  <si>
    <t>Gross revenue per year</t>
  </si>
  <si>
    <t>Average Annual Revenue</t>
  </si>
  <si>
    <t>3. COST / YEAR</t>
  </si>
  <si>
    <t>O&amp;M Costs</t>
  </si>
  <si>
    <t>Taxes</t>
  </si>
  <si>
    <t>Gross revenue</t>
  </si>
  <si>
    <t>Income tax and social contribution</t>
  </si>
  <si>
    <t>Net revenue</t>
  </si>
  <si>
    <t>Cash Balance Exercise</t>
  </si>
  <si>
    <t>Balance from previous year</t>
  </si>
  <si>
    <t>Cash Balance</t>
  </si>
  <si>
    <t>Flow for IRR</t>
  </si>
  <si>
    <t>Flow for IRR with CERs</t>
  </si>
  <si>
    <t>TIR with CERs</t>
  </si>
  <si>
    <t>Calculation memory of Carbon Credit</t>
  </si>
  <si>
    <t>Annual energy production</t>
  </si>
  <si>
    <t>Average Emission factor ( tCO2/MWh)</t>
  </si>
  <si>
    <t>Certificate Cost (€/tCO2)</t>
  </si>
  <si>
    <t>Commission + UM aid fund</t>
  </si>
  <si>
    <t>Net sale of carbon credits EURO</t>
  </si>
  <si>
    <t>Net sale of carbon credits R$</t>
  </si>
  <si>
    <t>O&amp;M</t>
  </si>
  <si>
    <t>PPA</t>
  </si>
  <si>
    <t>1. INVESTMENT</t>
  </si>
  <si>
    <t>Assured Energy</t>
  </si>
  <si>
    <t>Energy Price</t>
  </si>
  <si>
    <t>R$/MWh</t>
  </si>
  <si>
    <t xml:space="preserve">  Generation</t>
  </si>
  <si>
    <t>Testing period</t>
  </si>
  <si>
    <t>months</t>
  </si>
  <si>
    <t xml:space="preserve">  Ram up</t>
  </si>
  <si>
    <t>Full generation</t>
  </si>
  <si>
    <t>Gross Energy Price (R$/MWh)</t>
  </si>
  <si>
    <t>Electricity Generation (MWh/year)</t>
  </si>
  <si>
    <t>Investment Summary</t>
  </si>
  <si>
    <t>Elaborated in:</t>
  </si>
  <si>
    <t>Total Investment</t>
  </si>
  <si>
    <t xml:space="preserve">  Schedule</t>
  </si>
  <si>
    <t>Cumulative Cash Balance</t>
  </si>
  <si>
    <t xml:space="preserve">  Basis</t>
  </si>
  <si>
    <t>Social Contribution</t>
  </si>
  <si>
    <t>Income tax</t>
  </si>
  <si>
    <t>Expenses</t>
  </si>
  <si>
    <t>Project Starting Date</t>
  </si>
  <si>
    <t>Insurance</t>
  </si>
  <si>
    <t>TUSD</t>
  </si>
  <si>
    <t>R$/kW</t>
  </si>
  <si>
    <t>TFSEE</t>
  </si>
  <si>
    <t>Installed Capacity</t>
  </si>
  <si>
    <t>MW</t>
  </si>
  <si>
    <t>MWavg</t>
  </si>
  <si>
    <t>developer fee</t>
  </si>
  <si>
    <t/>
  </si>
  <si>
    <t>Exchange rate (Euro/Real)</t>
  </si>
  <si>
    <t>PROJECTED CASH FLOW</t>
  </si>
  <si>
    <t>INCOME STATEMENT FOR THE FINANCIAL YEAR PROJECTED</t>
  </si>
  <si>
    <t>Discount Rate:</t>
  </si>
  <si>
    <t>Deadline to start operation:</t>
  </si>
  <si>
    <t>Total Annual Costs</t>
  </si>
  <si>
    <t>Operating Revenue</t>
  </si>
  <si>
    <t>Net Revenues</t>
  </si>
  <si>
    <t>Operational Costs</t>
  </si>
  <si>
    <t>Net Profit</t>
  </si>
  <si>
    <t>Source: PPA offer (15/02/2010)</t>
  </si>
  <si>
    <t>Source: MME (p. 8 - July, 2003)</t>
  </si>
  <si>
    <t>TFSEE*</t>
  </si>
  <si>
    <t>*Law 9427/96 - Institutes the TSFEE tariff</t>
  </si>
  <si>
    <t>§ 1o The fiscalization tax, equivalent to five decimals per cent of the value related to the annual economic benefit earned by the concessionaire, permissionaire or authorized, will be determined by the following formulae:
        I - TFg = P x Gu (applicable to concessionaires)
       Where:
        TFg = fiscalization tax regarding the generation concession (R$);
        P = installed capacity to the generation service (kW);
        Gu = 0.5% of the unitary value referent to the annual benefit due to the exploration of the electricity generation service.</t>
  </si>
  <si>
    <t>Source: ANEEL Dispatch No. 4774/09</t>
  </si>
  <si>
    <t>Source: ANEEL Resolution No. 794/09</t>
  </si>
  <si>
    <t xml:space="preserve">  TUSD Discount</t>
  </si>
  <si>
    <t xml:space="preserve">  Months Number</t>
  </si>
  <si>
    <t xml:space="preserve">  Gu*</t>
  </si>
  <si>
    <t>Emission reduction (t/year)</t>
  </si>
  <si>
    <t>Source (10/09/2010)</t>
  </si>
  <si>
    <t>WACC 2010</t>
  </si>
  <si>
    <t>Source: Purchase Contract #16-2010 of hydro mechanical equipments</t>
  </si>
  <si>
    <t>Source: Consolidated Basic Project</t>
  </si>
  <si>
    <t>Source: Eletrobrás  Standard Budget (Oct/2010)</t>
  </si>
  <si>
    <t>Months</t>
  </si>
  <si>
    <t>Source: SHPP Divisa O&amp;M Contract #88-2010</t>
  </si>
  <si>
    <t>Project IRR</t>
  </si>
  <si>
    <t>Source</t>
  </si>
  <si>
    <t>Source: Contract Maggi x Lumina, page 5</t>
  </si>
  <si>
    <t>In 10/09/2001</t>
  </si>
  <si>
    <t>Income Tax Calculation</t>
  </si>
  <si>
    <t>Base of calculation</t>
  </si>
  <si>
    <t>Gross Revenue until 240.000 receives a 15% tax</t>
  </si>
  <si>
    <t>TOTAL INCOME TAX</t>
  </si>
  <si>
    <t>Source: CDM/UNFCCC</t>
  </si>
  <si>
    <t>Assumed Profit</t>
  </si>
  <si>
    <t>Difference between Assumed Profit and 240000 receives an additional tax of 10%</t>
  </si>
</sst>
</file>

<file path=xl/styles.xml><?xml version="1.0" encoding="utf-8"?>
<styleSheet xmlns="http://schemas.openxmlformats.org/spreadsheetml/2006/main">
  <numFmts count="10">
    <numFmt numFmtId="42" formatCode="_-&quot;R$&quot;\ * #,##0_-;\-&quot;R$&quot;\ * #,##0_-;_-&quot;R$&quot;\ * &quot;-&quot;_-;_-@_-"/>
    <numFmt numFmtId="44" formatCode="_-&quot;R$&quot;\ * #,##0.00_-;\-&quot;R$&quot;\ * #,##0.00_-;_-&quot;R$&quot;\ * &quot;-&quot;??_-;_-@_-"/>
    <numFmt numFmtId="43" formatCode="_-* #,##0.00_-;\-* #,##0.00_-;_-* &quot;-&quot;??_-;_-@_-"/>
    <numFmt numFmtId="164" formatCode="&quot;R$ &quot;#,##0.00_);[Red]\(&quot;R$ &quot;#,##0.00\)"/>
    <numFmt numFmtId="165" formatCode="_(* #,##0.00_);_(* \(#,##0.00\);_(* &quot;-&quot;??_);_(@_)"/>
    <numFmt numFmtId="166" formatCode="_(* #,##0_);_(* \(#,##0\);_(* &quot;-&quot;??_);_(@_)"/>
    <numFmt numFmtId="167" formatCode="_(* #,##0.0000_);_(* \(#,##0.0000\);_(* &quot;-&quot;??_);_(@_)"/>
    <numFmt numFmtId="168" formatCode="0.0%"/>
    <numFmt numFmtId="169" formatCode="#,##0.0;\-#,##0.0"/>
    <numFmt numFmtId="170" formatCode="0.0000"/>
  </numFmts>
  <fonts count="18">
    <font>
      <sz val="10"/>
      <name val="Arial"/>
    </font>
    <font>
      <sz val="10"/>
      <name val="Arial"/>
      <family val="2"/>
    </font>
    <font>
      <b/>
      <sz val="12"/>
      <name val="Arial"/>
      <family val="2"/>
    </font>
    <font>
      <sz val="12"/>
      <color indexed="10"/>
      <name val="Arial"/>
      <family val="2"/>
    </font>
    <font>
      <b/>
      <sz val="10"/>
      <name val="Arial"/>
      <family val="2"/>
    </font>
    <font>
      <b/>
      <sz val="10"/>
      <color indexed="9"/>
      <name val="Arial"/>
      <family val="2"/>
    </font>
    <font>
      <b/>
      <sz val="10"/>
      <color indexed="12"/>
      <name val="Arial"/>
      <family val="2"/>
    </font>
    <font>
      <b/>
      <sz val="10"/>
      <color indexed="10"/>
      <name val="Arial"/>
      <family val="2"/>
    </font>
    <font>
      <sz val="10"/>
      <name val="Arial"/>
      <family val="2"/>
    </font>
    <font>
      <sz val="10"/>
      <color indexed="10"/>
      <name val="Arial"/>
      <family val="2"/>
    </font>
    <font>
      <b/>
      <sz val="10"/>
      <name val="Arial"/>
      <family val="2"/>
    </font>
    <font>
      <sz val="12"/>
      <name val="Arial"/>
      <family val="2"/>
    </font>
    <font>
      <sz val="8"/>
      <name val="Arial"/>
      <family val="2"/>
    </font>
    <font>
      <b/>
      <sz val="8"/>
      <name val="Arial"/>
      <family val="2"/>
    </font>
    <font>
      <b/>
      <sz val="10"/>
      <color rgb="FFFF0000"/>
      <name val="Arial"/>
      <family val="2"/>
    </font>
    <font>
      <u/>
      <sz val="10"/>
      <color theme="10"/>
      <name val="Arial"/>
      <family val="2"/>
    </font>
    <font>
      <u/>
      <sz val="8"/>
      <color theme="10"/>
      <name val="Arial"/>
      <family val="2"/>
    </font>
    <font>
      <sz val="10"/>
      <color rgb="FFFF0000"/>
      <name val="Arial"/>
      <family val="2"/>
    </font>
  </fonts>
  <fills count="10">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0" tint="-0.14999847407452621"/>
        <bgColor indexed="64"/>
      </patternFill>
    </fill>
  </fills>
  <borders count="36">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s>
  <cellStyleXfs count="4">
    <xf numFmtId="0" fontId="0" fillId="0" borderId="0"/>
    <xf numFmtId="9" fontId="1" fillId="0" borderId="0" applyFont="0" applyFill="0" applyBorder="0" applyAlignment="0" applyProtection="0"/>
    <xf numFmtId="165" fontId="1" fillId="0" borderId="0" applyFont="0" applyFill="0" applyBorder="0" applyAlignment="0" applyProtection="0"/>
    <xf numFmtId="0" fontId="15" fillId="0" borderId="0" applyNumberFormat="0" applyFill="0" applyBorder="0" applyAlignment="0" applyProtection="0">
      <alignment vertical="top"/>
      <protection locked="0"/>
    </xf>
  </cellStyleXfs>
  <cellXfs count="350">
    <xf numFmtId="0" fontId="0" fillId="0" borderId="0" xfId="0"/>
    <xf numFmtId="0" fontId="4" fillId="0" borderId="0" xfId="0" applyFont="1" applyFill="1" applyAlignment="1">
      <alignment vertical="center"/>
    </xf>
    <xf numFmtId="0" fontId="1" fillId="0" borderId="0" xfId="0" applyFont="1" applyBorder="1" applyAlignment="1">
      <alignment vertical="center"/>
    </xf>
    <xf numFmtId="0" fontId="1" fillId="0" borderId="0" xfId="0" applyFont="1" applyFill="1" applyAlignment="1">
      <alignment vertical="center"/>
    </xf>
    <xf numFmtId="0" fontId="1" fillId="0" borderId="0" xfId="0" applyFont="1" applyFill="1" applyBorder="1" applyAlignment="1">
      <alignment vertical="center"/>
    </xf>
    <xf numFmtId="165" fontId="1" fillId="0" borderId="0" xfId="2" applyFont="1" applyFill="1" applyAlignment="1">
      <alignment vertical="center"/>
    </xf>
    <xf numFmtId="0" fontId="5" fillId="0" borderId="0" xfId="0" applyFont="1" applyFill="1" applyAlignment="1">
      <alignment vertical="center"/>
    </xf>
    <xf numFmtId="165" fontId="5" fillId="0" borderId="0" xfId="2" applyFont="1" applyFill="1" applyAlignment="1">
      <alignment vertical="center"/>
    </xf>
    <xf numFmtId="49" fontId="5" fillId="0" borderId="0" xfId="2" applyNumberFormat="1" applyFont="1" applyFill="1" applyAlignment="1">
      <alignment horizontal="center" vertical="center"/>
    </xf>
    <xf numFmtId="0" fontId="4" fillId="0" borderId="0" xfId="0" applyFont="1" applyFill="1" applyBorder="1" applyAlignment="1">
      <alignment vertical="center"/>
    </xf>
    <xf numFmtId="0" fontId="6" fillId="0" borderId="0" xfId="0" applyFont="1" applyFill="1" applyBorder="1" applyAlignment="1">
      <alignment vertical="center"/>
    </xf>
    <xf numFmtId="0" fontId="7" fillId="0" borderId="0" xfId="0" applyFont="1" applyFill="1" applyBorder="1" applyAlignment="1">
      <alignment vertical="center"/>
    </xf>
    <xf numFmtId="0" fontId="4" fillId="0" borderId="0" xfId="0" applyFont="1" applyFill="1" applyBorder="1" applyAlignment="1">
      <alignment horizontal="left" vertical="center"/>
    </xf>
    <xf numFmtId="0" fontId="1" fillId="0" borderId="1" xfId="0" applyFont="1" applyFill="1" applyBorder="1" applyAlignment="1">
      <alignment vertical="center"/>
    </xf>
    <xf numFmtId="0" fontId="1" fillId="0" borderId="2" xfId="0" applyFont="1" applyFill="1" applyBorder="1" applyAlignment="1">
      <alignment vertical="center"/>
    </xf>
    <xf numFmtId="0" fontId="8" fillId="0" borderId="3" xfId="0" applyFont="1" applyBorder="1" applyAlignment="1">
      <alignment vertical="center"/>
    </xf>
    <xf numFmtId="0" fontId="8" fillId="0" borderId="3" xfId="0" applyFont="1" applyFill="1" applyBorder="1" applyAlignment="1">
      <alignment vertical="center"/>
    </xf>
    <xf numFmtId="166" fontId="1" fillId="0" borderId="4" xfId="2" applyNumberFormat="1" applyFont="1" applyFill="1" applyBorder="1" applyAlignment="1">
      <alignment vertical="center"/>
    </xf>
    <xf numFmtId="166" fontId="1" fillId="0" borderId="0" xfId="2" applyNumberFormat="1" applyFont="1" applyFill="1" applyAlignment="1">
      <alignment vertical="center"/>
    </xf>
    <xf numFmtId="0" fontId="1" fillId="0" borderId="5" xfId="0" applyFont="1" applyFill="1" applyBorder="1" applyAlignment="1">
      <alignment vertical="center"/>
    </xf>
    <xf numFmtId="10" fontId="1" fillId="0" borderId="1" xfId="0" applyNumberFormat="1" applyFont="1" applyFill="1" applyBorder="1" applyAlignment="1">
      <alignment vertical="center"/>
    </xf>
    <xf numFmtId="0" fontId="1" fillId="0" borderId="6" xfId="0" applyFont="1" applyFill="1" applyBorder="1" applyAlignment="1">
      <alignment vertical="center"/>
    </xf>
    <xf numFmtId="14" fontId="1" fillId="0" borderId="0" xfId="0" applyNumberFormat="1" applyFont="1" applyFill="1" applyAlignment="1">
      <alignment vertical="center"/>
    </xf>
    <xf numFmtId="165" fontId="4" fillId="0" borderId="0" xfId="2" applyFont="1" applyFill="1" applyBorder="1" applyAlignment="1">
      <alignment vertical="center"/>
    </xf>
    <xf numFmtId="0" fontId="8" fillId="0" borderId="0" xfId="0" applyFont="1" applyFill="1" applyBorder="1" applyAlignment="1">
      <alignment vertical="center"/>
    </xf>
    <xf numFmtId="0" fontId="1" fillId="0" borderId="3" xfId="0" applyFont="1" applyBorder="1" applyAlignment="1">
      <alignment vertical="center"/>
    </xf>
    <xf numFmtId="0" fontId="10" fillId="2" borderId="1" xfId="0" applyFont="1" applyFill="1" applyBorder="1" applyAlignment="1">
      <alignment vertical="center"/>
    </xf>
    <xf numFmtId="0" fontId="10" fillId="2" borderId="2" xfId="0" applyFont="1" applyFill="1" applyBorder="1" applyAlignment="1">
      <alignment vertical="center"/>
    </xf>
    <xf numFmtId="0" fontId="8" fillId="2" borderId="7" xfId="0" applyFont="1" applyFill="1" applyBorder="1" applyAlignment="1">
      <alignment vertical="center"/>
    </xf>
    <xf numFmtId="0" fontId="8" fillId="2" borderId="8" xfId="0" applyFont="1" applyFill="1" applyBorder="1" applyAlignment="1">
      <alignment vertical="center"/>
    </xf>
    <xf numFmtId="166" fontId="8" fillId="2" borderId="4" xfId="2" applyNumberFormat="1" applyFont="1" applyFill="1" applyBorder="1" applyAlignment="1">
      <alignment vertical="center"/>
    </xf>
    <xf numFmtId="0" fontId="3" fillId="0" borderId="0" xfId="0" applyFont="1" applyAlignment="1" applyProtection="1">
      <alignment vertical="center"/>
    </xf>
    <xf numFmtId="0" fontId="2" fillId="0" borderId="0" xfId="0" applyFont="1" applyAlignment="1" applyProtection="1">
      <alignment vertical="center"/>
    </xf>
    <xf numFmtId="0" fontId="4" fillId="0" borderId="0" xfId="0" applyFont="1" applyAlignment="1" applyProtection="1">
      <alignment vertical="center"/>
    </xf>
    <xf numFmtId="37" fontId="8" fillId="3" borderId="0" xfId="0" applyNumberFormat="1" applyFont="1" applyFill="1" applyBorder="1"/>
    <xf numFmtId="39" fontId="8" fillId="3" borderId="0" xfId="0" applyNumberFormat="1" applyFont="1" applyFill="1" applyBorder="1"/>
    <xf numFmtId="39" fontId="8" fillId="0" borderId="0" xfId="0" applyNumberFormat="1" applyFont="1" applyFill="1" applyBorder="1"/>
    <xf numFmtId="0" fontId="8" fillId="0" borderId="0" xfId="0" applyFont="1" applyAlignment="1" applyProtection="1">
      <alignment vertical="center"/>
    </xf>
    <xf numFmtId="166" fontId="8" fillId="0" borderId="0" xfId="2" applyNumberFormat="1" applyFont="1" applyAlignment="1" applyProtection="1">
      <alignment vertical="center"/>
    </xf>
    <xf numFmtId="37" fontId="4" fillId="0" borderId="4" xfId="2" applyNumberFormat="1" applyFont="1" applyFill="1" applyBorder="1" applyAlignment="1">
      <alignment horizontal="right" vertical="center"/>
    </xf>
    <xf numFmtId="0" fontId="4" fillId="2" borderId="4" xfId="2" applyNumberFormat="1" applyFont="1" applyFill="1" applyBorder="1" applyAlignment="1">
      <alignment horizontal="center" vertical="center"/>
    </xf>
    <xf numFmtId="166" fontId="1" fillId="0" borderId="4" xfId="2" applyNumberFormat="1" applyFont="1" applyFill="1" applyBorder="1" applyAlignment="1">
      <alignment horizontal="right" vertical="center"/>
    </xf>
    <xf numFmtId="166" fontId="4" fillId="2" borderId="4" xfId="2" applyNumberFormat="1" applyFont="1" applyFill="1" applyBorder="1" applyAlignment="1">
      <alignment horizontal="right" vertical="center"/>
    </xf>
    <xf numFmtId="166" fontId="1" fillId="0" borderId="0" xfId="2" applyNumberFormat="1" applyFont="1" applyFill="1" applyAlignment="1">
      <alignment horizontal="right" vertical="center"/>
    </xf>
    <xf numFmtId="166" fontId="1" fillId="0" borderId="2" xfId="2" applyNumberFormat="1" applyFont="1" applyFill="1" applyBorder="1" applyAlignment="1">
      <alignment horizontal="right" vertical="center"/>
    </xf>
    <xf numFmtId="166" fontId="4" fillId="0" borderId="0" xfId="2" applyNumberFormat="1" applyFont="1" applyFill="1" applyBorder="1" applyAlignment="1">
      <alignment horizontal="right" vertical="center"/>
    </xf>
    <xf numFmtId="166" fontId="1" fillId="0" borderId="0" xfId="2" applyNumberFormat="1" applyFont="1" applyFill="1" applyBorder="1" applyAlignment="1">
      <alignment horizontal="right" vertical="center"/>
    </xf>
    <xf numFmtId="0" fontId="12" fillId="4" borderId="4" xfId="0" applyFont="1" applyFill="1" applyBorder="1"/>
    <xf numFmtId="3" fontId="12" fillId="4" borderId="4" xfId="0" applyNumberFormat="1" applyFont="1" applyFill="1" applyBorder="1"/>
    <xf numFmtId="9" fontId="12" fillId="4" borderId="4" xfId="0" applyNumberFormat="1" applyFont="1" applyFill="1" applyBorder="1"/>
    <xf numFmtId="0" fontId="0" fillId="4" borderId="0" xfId="0" applyFill="1"/>
    <xf numFmtId="43" fontId="0" fillId="4" borderId="0" xfId="0" applyNumberFormat="1" applyFill="1"/>
    <xf numFmtId="0" fontId="4" fillId="2" borderId="3" xfId="0" applyFont="1" applyFill="1" applyBorder="1" applyAlignment="1">
      <alignment vertical="center"/>
    </xf>
    <xf numFmtId="0" fontId="0" fillId="0" borderId="3" xfId="0" applyBorder="1" applyAlignment="1">
      <alignment vertical="center"/>
    </xf>
    <xf numFmtId="0" fontId="0" fillId="0" borderId="9" xfId="0" applyBorder="1" applyAlignment="1">
      <alignment vertical="center"/>
    </xf>
    <xf numFmtId="0" fontId="4" fillId="5" borderId="4" xfId="0" applyFont="1" applyFill="1" applyBorder="1" applyAlignment="1">
      <alignment horizontal="center" vertical="center"/>
    </xf>
    <xf numFmtId="10" fontId="0" fillId="4" borderId="4" xfId="0" quotePrefix="1" applyNumberFormat="1" applyFill="1" applyBorder="1" applyAlignment="1">
      <alignment horizontal="center" vertical="center"/>
    </xf>
    <xf numFmtId="9" fontId="0" fillId="4" borderId="4" xfId="0" applyNumberFormat="1" applyFill="1" applyBorder="1" applyAlignment="1">
      <alignment horizontal="center" vertical="center"/>
    </xf>
    <xf numFmtId="10" fontId="0" fillId="4" borderId="4" xfId="0" applyNumberFormat="1" applyFill="1" applyBorder="1" applyAlignment="1">
      <alignment horizontal="center" vertical="center"/>
    </xf>
    <xf numFmtId="165" fontId="8" fillId="4" borderId="4" xfId="2" applyFont="1" applyFill="1" applyBorder="1" applyAlignment="1">
      <alignment horizontal="center" vertical="center"/>
    </xf>
    <xf numFmtId="10" fontId="0" fillId="6" borderId="4" xfId="0" applyNumberFormat="1" applyFill="1" applyBorder="1" applyAlignment="1">
      <alignment horizontal="center" vertical="center"/>
    </xf>
    <xf numFmtId="165" fontId="8" fillId="6" borderId="4" xfId="2" applyFont="1" applyFill="1" applyBorder="1" applyAlignment="1">
      <alignment horizontal="center" vertical="center"/>
    </xf>
    <xf numFmtId="0" fontId="0" fillId="4" borderId="0" xfId="0" applyFill="1" applyAlignment="1">
      <alignment horizontal="center" vertical="center"/>
    </xf>
    <xf numFmtId="165" fontId="8" fillId="4" borderId="4" xfId="2" applyNumberFormat="1" applyFont="1" applyFill="1" applyBorder="1" applyAlignment="1">
      <alignment horizontal="center" vertical="center"/>
    </xf>
    <xf numFmtId="10" fontId="8" fillId="4" borderId="4" xfId="0" applyNumberFormat="1" applyFont="1" applyFill="1" applyBorder="1" applyAlignment="1">
      <alignment horizontal="center" vertical="center"/>
    </xf>
    <xf numFmtId="10" fontId="0" fillId="4" borderId="0" xfId="0" applyNumberFormat="1" applyFill="1"/>
    <xf numFmtId="166" fontId="12" fillId="4" borderId="4" xfId="0" applyNumberFormat="1" applyFont="1" applyFill="1" applyBorder="1"/>
    <xf numFmtId="0" fontId="13" fillId="4" borderId="4" xfId="0" applyFont="1" applyFill="1" applyBorder="1"/>
    <xf numFmtId="4" fontId="13" fillId="4" borderId="4" xfId="0" applyNumberFormat="1" applyFont="1" applyFill="1" applyBorder="1"/>
    <xf numFmtId="0" fontId="11" fillId="4" borderId="0" xfId="0" applyFont="1" applyFill="1" applyAlignment="1" applyProtection="1">
      <alignment vertical="center"/>
    </xf>
    <xf numFmtId="166" fontId="11" fillId="4" borderId="0" xfId="2" applyNumberFormat="1" applyFont="1" applyFill="1" applyAlignment="1" applyProtection="1">
      <alignment vertical="center"/>
    </xf>
    <xf numFmtId="0" fontId="2" fillId="4" borderId="0" xfId="0" applyFont="1" applyFill="1" applyAlignment="1" applyProtection="1">
      <alignment vertical="center"/>
    </xf>
    <xf numFmtId="0" fontId="3" fillId="4" borderId="0" xfId="0" applyFont="1" applyFill="1" applyAlignment="1" applyProtection="1">
      <alignment vertical="center"/>
    </xf>
    <xf numFmtId="0" fontId="4" fillId="4" borderId="0" xfId="0" applyFont="1" applyFill="1" applyAlignment="1" applyProtection="1">
      <alignment vertical="center"/>
    </xf>
    <xf numFmtId="10" fontId="4" fillId="4" borderId="0" xfId="0" applyNumberFormat="1" applyFont="1" applyFill="1" applyAlignment="1" applyProtection="1">
      <alignment vertical="center"/>
    </xf>
    <xf numFmtId="0" fontId="8" fillId="4" borderId="0" xfId="0" applyFont="1" applyFill="1" applyAlignment="1" applyProtection="1">
      <alignment vertical="center"/>
    </xf>
    <xf numFmtId="166" fontId="4" fillId="4" borderId="0" xfId="0" applyNumberFormat="1" applyFont="1" applyFill="1" applyAlignment="1" applyProtection="1">
      <alignment vertical="center"/>
    </xf>
    <xf numFmtId="0" fontId="8" fillId="4" borderId="0" xfId="0" applyFont="1" applyFill="1" applyBorder="1" applyAlignment="1" applyProtection="1">
      <alignment vertical="center"/>
    </xf>
    <xf numFmtId="166" fontId="8" fillId="4" borderId="0" xfId="2" applyNumberFormat="1" applyFont="1" applyFill="1" applyAlignment="1" applyProtection="1">
      <alignment vertical="center"/>
    </xf>
    <xf numFmtId="166" fontId="4" fillId="4" borderId="0" xfId="2" applyNumberFormat="1" applyFont="1" applyFill="1" applyAlignment="1" applyProtection="1">
      <alignment vertical="center"/>
    </xf>
    <xf numFmtId="0" fontId="7" fillId="4" borderId="0" xfId="0" applyFont="1" applyFill="1" applyAlignment="1" applyProtection="1">
      <alignment vertical="center"/>
    </xf>
    <xf numFmtId="165" fontId="4" fillId="4" borderId="0" xfId="2" applyFont="1" applyFill="1" applyAlignment="1" applyProtection="1">
      <alignment vertical="center"/>
    </xf>
    <xf numFmtId="165" fontId="7" fillId="4" borderId="0" xfId="2" applyFont="1" applyFill="1" applyAlignment="1" applyProtection="1">
      <alignment horizontal="left" vertical="center"/>
    </xf>
    <xf numFmtId="9" fontId="4" fillId="4" borderId="0" xfId="2" applyNumberFormat="1" applyFont="1" applyFill="1" applyAlignment="1" applyProtection="1">
      <alignment horizontal="center" vertical="center"/>
    </xf>
    <xf numFmtId="167" fontId="4" fillId="4" borderId="0" xfId="2" applyNumberFormat="1" applyFont="1" applyFill="1" applyAlignment="1" applyProtection="1">
      <alignment horizontal="left" vertical="center"/>
    </xf>
    <xf numFmtId="0" fontId="4" fillId="4" borderId="0" xfId="0" applyFont="1" applyFill="1" applyAlignment="1" applyProtection="1">
      <alignment horizontal="center" vertical="center"/>
    </xf>
    <xf numFmtId="0" fontId="7" fillId="4" borderId="0" xfId="0" applyFont="1" applyFill="1" applyAlignment="1" applyProtection="1">
      <alignment horizontal="center" vertical="center"/>
    </xf>
    <xf numFmtId="0" fontId="4" fillId="4" borderId="0" xfId="0" applyFont="1" applyFill="1" applyAlignment="1" applyProtection="1">
      <alignment horizontal="right" vertical="center"/>
    </xf>
    <xf numFmtId="10" fontId="7" fillId="4" borderId="0" xfId="1" applyNumberFormat="1" applyFont="1" applyFill="1" applyAlignment="1" applyProtection="1">
      <alignment vertical="center"/>
    </xf>
    <xf numFmtId="0" fontId="4" fillId="4" borderId="0" xfId="0" applyFont="1" applyFill="1" applyAlignment="1" applyProtection="1">
      <alignment horizontal="left" vertical="center"/>
    </xf>
    <xf numFmtId="166" fontId="7" fillId="4" borderId="0" xfId="2" applyNumberFormat="1" applyFont="1" applyFill="1" applyAlignment="1" applyProtection="1">
      <alignment vertical="center"/>
    </xf>
    <xf numFmtId="1" fontId="4" fillId="4" borderId="0" xfId="2" applyNumberFormat="1" applyFont="1" applyFill="1" applyAlignment="1" applyProtection="1">
      <alignment vertical="center"/>
    </xf>
    <xf numFmtId="0" fontId="4" fillId="4" borderId="0" xfId="0" applyFont="1" applyFill="1" applyBorder="1" applyAlignment="1" applyProtection="1">
      <alignment vertical="center"/>
    </xf>
    <xf numFmtId="0" fontId="8" fillId="4" borderId="1" xfId="0" applyFont="1" applyFill="1" applyBorder="1" applyAlignment="1" applyProtection="1">
      <alignment vertical="center"/>
    </xf>
    <xf numFmtId="0" fontId="8" fillId="4" borderId="3" xfId="0" applyFont="1" applyFill="1" applyBorder="1" applyAlignment="1" applyProtection="1">
      <alignment vertical="center"/>
    </xf>
    <xf numFmtId="0" fontId="4" fillId="4" borderId="0" xfId="0" applyFont="1" applyFill="1" applyBorder="1" applyAlignment="1" applyProtection="1">
      <alignment horizontal="left" vertical="center"/>
    </xf>
    <xf numFmtId="166" fontId="4" fillId="4" borderId="0" xfId="2" applyNumberFormat="1" applyFont="1" applyFill="1" applyBorder="1" applyAlignment="1" applyProtection="1">
      <alignment horizontal="center" vertical="center"/>
    </xf>
    <xf numFmtId="0" fontId="8" fillId="4" borderId="3" xfId="0" applyFont="1" applyFill="1" applyBorder="1" applyAlignment="1" applyProtection="1">
      <alignment horizontal="left" vertical="center"/>
    </xf>
    <xf numFmtId="0" fontId="8" fillId="4" borderId="1" xfId="0" applyFont="1" applyFill="1" applyBorder="1" applyAlignment="1" applyProtection="1">
      <alignment horizontal="center" vertical="center"/>
    </xf>
    <xf numFmtId="9" fontId="8" fillId="4" borderId="1" xfId="1" applyFont="1" applyFill="1" applyBorder="1" applyAlignment="1" applyProtection="1">
      <alignment horizontal="right" vertical="center"/>
    </xf>
    <xf numFmtId="166" fontId="8" fillId="4" borderId="1" xfId="2" applyNumberFormat="1" applyFont="1" applyFill="1" applyBorder="1" applyAlignment="1" applyProtection="1">
      <alignment vertical="center"/>
    </xf>
    <xf numFmtId="166" fontId="8" fillId="4" borderId="0" xfId="2" applyNumberFormat="1" applyFont="1" applyFill="1" applyBorder="1" applyAlignment="1" applyProtection="1">
      <alignment horizontal="right" vertical="center"/>
    </xf>
    <xf numFmtId="0" fontId="8" fillId="4" borderId="2" xfId="0" applyFont="1" applyFill="1" applyBorder="1" applyAlignment="1" applyProtection="1">
      <alignment vertical="center"/>
    </xf>
    <xf numFmtId="0" fontId="4" fillId="2" borderId="1" xfId="0" applyFont="1" applyFill="1" applyBorder="1" applyAlignment="1">
      <alignment vertical="center"/>
    </xf>
    <xf numFmtId="165" fontId="4" fillId="2" borderId="1" xfId="2" applyFont="1" applyFill="1" applyBorder="1" applyAlignment="1">
      <alignment vertical="center"/>
    </xf>
    <xf numFmtId="1" fontId="4" fillId="2" borderId="1" xfId="2" applyNumberFormat="1" applyFont="1" applyFill="1" applyBorder="1" applyAlignment="1">
      <alignment horizontal="center" vertical="center"/>
    </xf>
    <xf numFmtId="1" fontId="4" fillId="2" borderId="2" xfId="2" applyNumberFormat="1" applyFont="1" applyFill="1" applyBorder="1" applyAlignment="1">
      <alignment horizontal="center" vertical="center"/>
    </xf>
    <xf numFmtId="0" fontId="8" fillId="0" borderId="0" xfId="0" applyFont="1" applyAlignment="1">
      <alignment vertical="center"/>
    </xf>
    <xf numFmtId="9" fontId="4" fillId="2" borderId="3" xfId="0" applyNumberFormat="1" applyFont="1" applyFill="1" applyBorder="1" applyAlignment="1">
      <alignment vertical="center"/>
    </xf>
    <xf numFmtId="165" fontId="8" fillId="0" borderId="0" xfId="2" applyFont="1" applyFill="1" applyBorder="1" applyAlignment="1">
      <alignment vertical="center"/>
    </xf>
    <xf numFmtId="49" fontId="4" fillId="2" borderId="1" xfId="2" applyNumberFormat="1" applyFont="1" applyFill="1" applyBorder="1" applyAlignment="1">
      <alignment horizontal="center" vertical="center"/>
    </xf>
    <xf numFmtId="165" fontId="4" fillId="2" borderId="2" xfId="2" applyFont="1" applyFill="1" applyBorder="1" applyAlignment="1">
      <alignment vertical="center"/>
    </xf>
    <xf numFmtId="1" fontId="4" fillId="0" borderId="0" xfId="2" applyNumberFormat="1" applyFont="1" applyFill="1" applyBorder="1" applyAlignment="1">
      <alignment horizontal="center" vertical="center"/>
    </xf>
    <xf numFmtId="0" fontId="4" fillId="2" borderId="2" xfId="0" applyFont="1" applyFill="1" applyBorder="1" applyAlignment="1">
      <alignment vertical="center"/>
    </xf>
    <xf numFmtId="166" fontId="8" fillId="0" borderId="4" xfId="2" applyNumberFormat="1" applyFont="1" applyFill="1" applyBorder="1" applyAlignment="1">
      <alignment vertical="center"/>
    </xf>
    <xf numFmtId="37" fontId="4" fillId="2" borderId="4" xfId="2" applyNumberFormat="1" applyFont="1" applyFill="1" applyBorder="1" applyAlignment="1">
      <alignment horizontal="right" vertical="center"/>
    </xf>
    <xf numFmtId="164" fontId="8" fillId="0" borderId="0" xfId="0" applyNumberFormat="1" applyFont="1" applyFill="1" applyBorder="1" applyAlignment="1">
      <alignment vertical="center"/>
    </xf>
    <xf numFmtId="9" fontId="4" fillId="0" borderId="0" xfId="0" applyNumberFormat="1" applyFont="1" applyFill="1" applyBorder="1" applyAlignment="1">
      <alignment vertical="center"/>
    </xf>
    <xf numFmtId="39" fontId="4" fillId="0" borderId="0" xfId="0" applyNumberFormat="1" applyFont="1" applyFill="1" applyBorder="1" applyAlignment="1">
      <alignment horizontal="center" vertical="center"/>
    </xf>
    <xf numFmtId="0" fontId="8" fillId="0" borderId="1" xfId="0" applyFont="1" applyFill="1" applyBorder="1" applyAlignment="1">
      <alignment vertical="center"/>
    </xf>
    <xf numFmtId="0" fontId="8" fillId="0" borderId="2" xfId="0" applyFont="1" applyFill="1" applyBorder="1" applyAlignment="1">
      <alignment vertical="center"/>
    </xf>
    <xf numFmtId="166" fontId="8" fillId="0" borderId="2" xfId="2" applyNumberFormat="1" applyFont="1" applyFill="1" applyBorder="1" applyAlignment="1">
      <alignment vertical="center"/>
    </xf>
    <xf numFmtId="166" fontId="8" fillId="4" borderId="4" xfId="2" applyNumberFormat="1" applyFont="1" applyFill="1" applyBorder="1" applyAlignment="1">
      <alignment vertical="center"/>
    </xf>
    <xf numFmtId="166" fontId="8" fillId="0" borderId="0" xfId="2" applyNumberFormat="1" applyFont="1" applyFill="1" applyBorder="1" applyAlignment="1">
      <alignment vertical="center"/>
    </xf>
    <xf numFmtId="37" fontId="8" fillId="0" borderId="0" xfId="0" applyNumberFormat="1" applyFont="1" applyFill="1" applyBorder="1" applyAlignment="1">
      <alignment vertical="center"/>
    </xf>
    <xf numFmtId="9" fontId="8" fillId="0" borderId="0" xfId="1" applyFont="1" applyFill="1" applyBorder="1" applyAlignment="1">
      <alignment vertical="center"/>
    </xf>
    <xf numFmtId="37" fontId="4" fillId="7" borderId="4" xfId="0" applyNumberFormat="1" applyFont="1" applyFill="1" applyBorder="1"/>
    <xf numFmtId="0" fontId="8" fillId="4" borderId="9" xfId="0" applyFont="1" applyFill="1" applyBorder="1" applyAlignment="1" applyProtection="1">
      <alignment horizontal="left" vertical="center"/>
    </xf>
    <xf numFmtId="0" fontId="8" fillId="4" borderId="6" xfId="0" applyFont="1" applyFill="1" applyBorder="1" applyAlignment="1" applyProtection="1">
      <alignment horizontal="center" vertical="center"/>
    </xf>
    <xf numFmtId="9" fontId="8" fillId="4" borderId="6" xfId="1" applyFont="1" applyFill="1" applyBorder="1" applyAlignment="1" applyProtection="1">
      <alignment vertical="center"/>
    </xf>
    <xf numFmtId="166" fontId="4" fillId="4" borderId="0" xfId="2" applyNumberFormat="1" applyFont="1" applyFill="1" applyBorder="1" applyAlignment="1" applyProtection="1">
      <alignment horizontal="right" vertical="center"/>
    </xf>
    <xf numFmtId="0" fontId="4" fillId="4" borderId="0" xfId="0" applyFont="1" applyFill="1" applyBorder="1" applyAlignment="1">
      <alignment horizontal="center" vertical="center"/>
    </xf>
    <xf numFmtId="0" fontId="4" fillId="4" borderId="0" xfId="2" applyNumberFormat="1" applyFont="1" applyFill="1" applyBorder="1" applyAlignment="1">
      <alignment horizontal="center" vertical="center"/>
    </xf>
    <xf numFmtId="0" fontId="4" fillId="4" borderId="0" xfId="0" applyFont="1" applyFill="1" applyAlignment="1">
      <alignment vertical="center"/>
    </xf>
    <xf numFmtId="0" fontId="8" fillId="4" borderId="0" xfId="0" applyFont="1" applyFill="1" applyBorder="1" applyAlignment="1">
      <alignment vertical="center"/>
    </xf>
    <xf numFmtId="0" fontId="8" fillId="4" borderId="0" xfId="0" applyFont="1" applyFill="1" applyBorder="1" applyAlignment="1">
      <alignment horizontal="right" vertical="center"/>
    </xf>
    <xf numFmtId="0" fontId="8" fillId="4" borderId="0" xfId="0" applyFont="1" applyFill="1" applyBorder="1" applyAlignment="1">
      <alignment horizontal="left" vertical="center"/>
    </xf>
    <xf numFmtId="0" fontId="8" fillId="0" borderId="0" xfId="0" applyFont="1" applyFill="1" applyAlignment="1">
      <alignment vertical="center"/>
    </xf>
    <xf numFmtId="0" fontId="4" fillId="0" borderId="0" xfId="0" applyFont="1" applyFill="1" applyAlignment="1">
      <alignment horizontal="center" vertical="center"/>
    </xf>
    <xf numFmtId="165" fontId="1" fillId="0" borderId="4" xfId="2" applyNumberFormat="1" applyFont="1" applyFill="1" applyBorder="1" applyAlignment="1">
      <alignment horizontal="right" vertical="center"/>
    </xf>
    <xf numFmtId="14" fontId="3" fillId="4" borderId="0" xfId="0" applyNumberFormat="1" applyFont="1" applyFill="1" applyAlignment="1" applyProtection="1">
      <alignment vertical="center"/>
    </xf>
    <xf numFmtId="0" fontId="4" fillId="0" borderId="0" xfId="0" applyFont="1" applyFill="1" applyBorder="1" applyAlignment="1">
      <alignment horizontal="center" vertical="center"/>
    </xf>
    <xf numFmtId="0" fontId="4" fillId="0" borderId="0" xfId="2" applyNumberFormat="1" applyFont="1" applyFill="1" applyBorder="1" applyAlignment="1">
      <alignment horizontal="center" vertical="center"/>
    </xf>
    <xf numFmtId="166" fontId="8" fillId="4" borderId="0" xfId="2" applyNumberFormat="1" applyFont="1" applyFill="1" applyAlignment="1" applyProtection="1">
      <alignment horizontal="center" vertical="center"/>
    </xf>
    <xf numFmtId="169" fontId="4" fillId="7" borderId="4" xfId="0" applyNumberFormat="1" applyFont="1" applyFill="1" applyBorder="1"/>
    <xf numFmtId="166" fontId="11" fillId="4" borderId="0" xfId="2" applyNumberFormat="1" applyFont="1" applyFill="1" applyBorder="1" applyAlignment="1" applyProtection="1">
      <alignment vertical="center"/>
    </xf>
    <xf numFmtId="14" fontId="4" fillId="6" borderId="2" xfId="0" applyNumberFormat="1" applyFont="1" applyFill="1" applyBorder="1" applyAlignment="1" applyProtection="1">
      <alignment vertical="center"/>
    </xf>
    <xf numFmtId="44" fontId="4" fillId="4" borderId="0" xfId="2" applyNumberFormat="1" applyFont="1" applyFill="1" applyAlignment="1" applyProtection="1">
      <alignment vertical="center"/>
    </xf>
    <xf numFmtId="165" fontId="8" fillId="4" borderId="0" xfId="2" applyFont="1" applyFill="1" applyAlignment="1" applyProtection="1">
      <alignment horizontal="center" vertical="center"/>
    </xf>
    <xf numFmtId="42" fontId="8" fillId="4" borderId="0" xfId="2" applyNumberFormat="1" applyFont="1" applyFill="1" applyAlignment="1" applyProtection="1">
      <alignment horizontal="center" vertical="center"/>
    </xf>
    <xf numFmtId="9" fontId="8" fillId="4" borderId="0" xfId="2" applyNumberFormat="1" applyFont="1" applyFill="1" applyAlignment="1" applyProtection="1">
      <alignment horizontal="center" vertical="center"/>
    </xf>
    <xf numFmtId="14" fontId="7" fillId="4" borderId="0" xfId="0" applyNumberFormat="1" applyFont="1" applyFill="1" applyAlignment="1" applyProtection="1">
      <alignment vertical="center"/>
    </xf>
    <xf numFmtId="0" fontId="9" fillId="4" borderId="0" xfId="0" applyFont="1" applyFill="1" applyAlignment="1" applyProtection="1">
      <alignment vertical="center"/>
    </xf>
    <xf numFmtId="0" fontId="9" fillId="4" borderId="0" xfId="0" applyFont="1" applyFill="1" applyAlignment="1" applyProtection="1">
      <alignment horizontal="right" vertical="center"/>
    </xf>
    <xf numFmtId="0" fontId="7" fillId="4" borderId="0" xfId="0" applyNumberFormat="1" applyFont="1" applyFill="1" applyAlignment="1" applyProtection="1">
      <alignment vertical="center"/>
    </xf>
    <xf numFmtId="14" fontId="9" fillId="4" borderId="0" xfId="0" applyNumberFormat="1" applyFont="1" applyFill="1" applyAlignment="1" applyProtection="1">
      <alignment vertical="center"/>
    </xf>
    <xf numFmtId="165" fontId="1" fillId="4" borderId="0" xfId="2" applyFont="1" applyFill="1"/>
    <xf numFmtId="0" fontId="0" fillId="0" borderId="7" xfId="0" applyBorder="1" applyAlignment="1">
      <alignment vertical="center"/>
    </xf>
    <xf numFmtId="14" fontId="8" fillId="4" borderId="0" xfId="0" applyNumberFormat="1" applyFont="1" applyFill="1" applyAlignment="1" applyProtection="1">
      <alignment vertical="center"/>
    </xf>
    <xf numFmtId="14" fontId="1" fillId="4" borderId="0" xfId="0" applyNumberFormat="1" applyFont="1" applyFill="1" applyAlignment="1" applyProtection="1">
      <alignment horizontal="center" vertical="center"/>
    </xf>
    <xf numFmtId="165" fontId="14" fillId="4" borderId="0" xfId="2" applyFont="1" applyFill="1" applyAlignment="1" applyProtection="1">
      <alignment vertical="center"/>
    </xf>
    <xf numFmtId="0" fontId="14" fillId="4" borderId="0" xfId="0" applyFont="1" applyFill="1" applyAlignment="1" applyProtection="1">
      <alignment vertical="center"/>
    </xf>
    <xf numFmtId="0" fontId="4" fillId="4" borderId="0" xfId="0" applyFont="1" applyFill="1" applyAlignment="1" applyProtection="1">
      <alignment horizontal="center" vertical="center"/>
    </xf>
    <xf numFmtId="166" fontId="8" fillId="4" borderId="0" xfId="2" applyNumberFormat="1" applyFont="1" applyFill="1" applyAlignment="1" applyProtection="1">
      <alignment horizontal="center" vertical="center"/>
    </xf>
    <xf numFmtId="2" fontId="4" fillId="0" borderId="0" xfId="2" applyNumberFormat="1" applyFont="1" applyFill="1" applyBorder="1" applyAlignment="1">
      <alignment horizontal="center" vertical="center"/>
    </xf>
    <xf numFmtId="0" fontId="1" fillId="0" borderId="3" xfId="0" applyFont="1" applyFill="1" applyBorder="1" applyAlignment="1">
      <alignment vertical="center"/>
    </xf>
    <xf numFmtId="44" fontId="4" fillId="4" borderId="0" xfId="0" applyNumberFormat="1" applyFont="1" applyFill="1" applyAlignment="1" applyProtection="1">
      <alignment horizontal="center" vertical="center"/>
    </xf>
    <xf numFmtId="166" fontId="8" fillId="4" borderId="0" xfId="2" applyNumberFormat="1" applyFont="1" applyFill="1" applyAlignment="1" applyProtection="1">
      <alignment horizontal="center" vertical="center"/>
    </xf>
    <xf numFmtId="166" fontId="8" fillId="4" borderId="6" xfId="2" applyNumberFormat="1" applyFont="1" applyFill="1" applyBorder="1" applyAlignment="1" applyProtection="1">
      <alignment horizontal="right" vertical="center"/>
    </xf>
    <xf numFmtId="165" fontId="7" fillId="4" borderId="0" xfId="2" applyFont="1" applyFill="1" applyAlignment="1" applyProtection="1">
      <alignment horizontal="center" vertical="center"/>
    </xf>
    <xf numFmtId="0" fontId="4" fillId="4" borderId="0" xfId="0" applyFont="1" applyFill="1" applyAlignment="1" applyProtection="1">
      <alignment horizontal="center" vertical="center"/>
    </xf>
    <xf numFmtId="10" fontId="4" fillId="4" borderId="0" xfId="0" applyNumberFormat="1" applyFont="1" applyFill="1" applyAlignment="1" applyProtection="1">
      <alignment horizontal="right" vertical="center"/>
    </xf>
    <xf numFmtId="165" fontId="4" fillId="4" borderId="0" xfId="2" applyFont="1" applyFill="1" applyAlignment="1" applyProtection="1">
      <alignment horizontal="center" vertical="center"/>
    </xf>
    <xf numFmtId="0" fontId="1" fillId="4" borderId="3" xfId="0" applyFont="1" applyFill="1" applyBorder="1" applyAlignment="1" applyProtection="1">
      <alignment vertical="center"/>
    </xf>
    <xf numFmtId="0" fontId="1" fillId="4" borderId="0" xfId="0" applyFont="1" applyFill="1" applyAlignment="1">
      <alignment vertical="center"/>
    </xf>
    <xf numFmtId="165" fontId="1" fillId="4" borderId="0" xfId="2" applyFont="1" applyFill="1" applyAlignment="1">
      <alignment vertical="center"/>
    </xf>
    <xf numFmtId="0" fontId="1" fillId="4" borderId="0" xfId="0" applyFont="1" applyFill="1" applyAlignment="1" applyProtection="1">
      <alignment vertical="center"/>
    </xf>
    <xf numFmtId="0" fontId="1" fillId="4" borderId="3" xfId="0" applyFont="1" applyFill="1" applyBorder="1" applyAlignment="1" applyProtection="1">
      <alignment horizontal="left" vertical="center"/>
    </xf>
    <xf numFmtId="0" fontId="1" fillId="4" borderId="1" xfId="0" applyFont="1" applyFill="1" applyBorder="1" applyAlignment="1" applyProtection="1">
      <alignment horizontal="left" vertical="center"/>
    </xf>
    <xf numFmtId="166" fontId="1" fillId="4" borderId="3" xfId="0" applyNumberFormat="1" applyFont="1" applyFill="1" applyBorder="1" applyAlignment="1" applyProtection="1">
      <alignment horizontal="center" vertical="center"/>
    </xf>
    <xf numFmtId="166" fontId="1" fillId="4" borderId="2" xfId="0" applyNumberFormat="1" applyFont="1" applyFill="1" applyBorder="1" applyAlignment="1" applyProtection="1">
      <alignment horizontal="center" vertical="center"/>
    </xf>
    <xf numFmtId="0" fontId="1" fillId="4" borderId="1" xfId="0" applyFont="1" applyFill="1" applyBorder="1" applyAlignment="1" applyProtection="1">
      <alignment horizontal="right" vertical="center"/>
    </xf>
    <xf numFmtId="0" fontId="1" fillId="4" borderId="1" xfId="0" applyFont="1" applyFill="1" applyBorder="1" applyAlignment="1" applyProtection="1">
      <alignment vertical="center"/>
    </xf>
    <xf numFmtId="166" fontId="1" fillId="4" borderId="1" xfId="2" applyNumberFormat="1" applyFont="1" applyFill="1" applyBorder="1" applyAlignment="1" applyProtection="1">
      <alignment horizontal="right" vertical="center"/>
    </xf>
    <xf numFmtId="165" fontId="1" fillId="4" borderId="1" xfId="2" applyFont="1" applyFill="1" applyBorder="1" applyAlignment="1" applyProtection="1">
      <alignment horizontal="center" vertical="center"/>
    </xf>
    <xf numFmtId="166" fontId="1" fillId="4" borderId="1" xfId="2" applyNumberFormat="1" applyFont="1" applyFill="1" applyBorder="1" applyAlignment="1" applyProtection="1">
      <alignment horizontal="left" vertical="center"/>
    </xf>
    <xf numFmtId="0" fontId="0" fillId="4" borderId="0" xfId="0" quotePrefix="1" applyFill="1"/>
    <xf numFmtId="2" fontId="12" fillId="4" borderId="4" xfId="0" applyNumberFormat="1" applyFont="1" applyFill="1" applyBorder="1"/>
    <xf numFmtId="0" fontId="16" fillId="4" borderId="0" xfId="3" applyFont="1" applyFill="1" applyAlignment="1" applyProtection="1">
      <alignment horizontal="center" vertical="center"/>
    </xf>
    <xf numFmtId="0" fontId="1" fillId="4" borderId="0" xfId="0" applyFont="1" applyFill="1"/>
    <xf numFmtId="10" fontId="1" fillId="6" borderId="4" xfId="0" applyNumberFormat="1" applyFont="1" applyFill="1" applyBorder="1" applyAlignment="1">
      <alignment horizontal="center" vertical="center"/>
    </xf>
    <xf numFmtId="9" fontId="1" fillId="6" borderId="4" xfId="0" applyNumberFormat="1" applyFont="1" applyFill="1" applyBorder="1" applyAlignment="1">
      <alignment horizontal="center" vertical="center"/>
    </xf>
    <xf numFmtId="165" fontId="8" fillId="4" borderId="1" xfId="2" applyFont="1" applyFill="1" applyBorder="1" applyAlignment="1" applyProtection="1">
      <alignment vertical="center"/>
    </xf>
    <xf numFmtId="166" fontId="1" fillId="4" borderId="3" xfId="2" applyNumberFormat="1" applyFont="1" applyFill="1" applyBorder="1" applyAlignment="1" applyProtection="1">
      <alignment horizontal="center" vertical="center"/>
    </xf>
    <xf numFmtId="166" fontId="1" fillId="4" borderId="2" xfId="2" applyNumberFormat="1" applyFont="1" applyFill="1" applyBorder="1" applyAlignment="1" applyProtection="1">
      <alignment horizontal="center" vertical="center"/>
    </xf>
    <xf numFmtId="9" fontId="1" fillId="4" borderId="1" xfId="1" applyFont="1" applyFill="1" applyBorder="1" applyAlignment="1" applyProtection="1">
      <alignment horizontal="right" vertical="center"/>
    </xf>
    <xf numFmtId="167" fontId="8" fillId="0" borderId="0" xfId="2" applyNumberFormat="1" applyFont="1" applyFill="1" applyBorder="1" applyAlignment="1">
      <alignment vertical="center"/>
    </xf>
    <xf numFmtId="166" fontId="8" fillId="4" borderId="1" xfId="2" applyNumberFormat="1" applyFont="1" applyFill="1" applyBorder="1" applyAlignment="1" applyProtection="1">
      <alignment horizontal="left" vertical="center"/>
    </xf>
    <xf numFmtId="166" fontId="1" fillId="4" borderId="2" xfId="2" applyNumberFormat="1" applyFont="1" applyFill="1" applyBorder="1" applyAlignment="1" applyProtection="1">
      <alignment horizontal="center" vertical="center"/>
    </xf>
    <xf numFmtId="0" fontId="8" fillId="4" borderId="7" xfId="0" applyFont="1" applyFill="1" applyBorder="1" applyAlignment="1" applyProtection="1">
      <alignment vertical="center"/>
    </xf>
    <xf numFmtId="0" fontId="4" fillId="4" borderId="5" xfId="0" applyFont="1" applyFill="1" applyBorder="1" applyAlignment="1" applyProtection="1">
      <alignment vertical="center"/>
    </xf>
    <xf numFmtId="0" fontId="8" fillId="4" borderId="5" xfId="0" applyFont="1" applyFill="1" applyBorder="1" applyAlignment="1" applyProtection="1">
      <alignment vertical="center"/>
    </xf>
    <xf numFmtId="166" fontId="8" fillId="4" borderId="5" xfId="2" applyNumberFormat="1" applyFont="1" applyFill="1" applyBorder="1" applyAlignment="1" applyProtection="1">
      <alignment horizontal="left" vertical="center"/>
    </xf>
    <xf numFmtId="166" fontId="1" fillId="4" borderId="1" xfId="2" applyNumberFormat="1" applyFont="1" applyFill="1" applyBorder="1" applyAlignment="1" applyProtection="1">
      <alignment horizontal="center" vertical="center"/>
    </xf>
    <xf numFmtId="166" fontId="8" fillId="4" borderId="0" xfId="2" applyNumberFormat="1" applyFont="1" applyFill="1" applyBorder="1" applyAlignment="1" applyProtection="1">
      <alignment horizontal="left" vertical="center"/>
    </xf>
    <xf numFmtId="166" fontId="1" fillId="4" borderId="0" xfId="2" applyNumberFormat="1" applyFont="1" applyFill="1" applyBorder="1" applyAlignment="1" applyProtection="1">
      <alignment horizontal="left" vertical="center"/>
    </xf>
    <xf numFmtId="0" fontId="1" fillId="4" borderId="0" xfId="0" applyFont="1" applyFill="1" applyBorder="1" applyAlignment="1" applyProtection="1">
      <alignment vertical="center"/>
    </xf>
    <xf numFmtId="0" fontId="1" fillId="4" borderId="12" xfId="0" applyFont="1" applyFill="1" applyBorder="1" applyAlignment="1" applyProtection="1">
      <alignment vertical="center"/>
    </xf>
    <xf numFmtId="165" fontId="8" fillId="4" borderId="0" xfId="2" applyFont="1" applyFill="1" applyBorder="1" applyAlignment="1" applyProtection="1">
      <alignment horizontal="center" vertical="center"/>
    </xf>
    <xf numFmtId="168" fontId="8" fillId="4" borderId="0" xfId="1" applyNumberFormat="1" applyFont="1" applyFill="1" applyBorder="1" applyAlignment="1" applyProtection="1">
      <alignment horizontal="right" vertical="center"/>
    </xf>
    <xf numFmtId="166" fontId="1" fillId="4" borderId="0" xfId="2" applyNumberFormat="1" applyFont="1" applyFill="1" applyBorder="1" applyAlignment="1" applyProtection="1">
      <alignment horizontal="right" vertical="center"/>
    </xf>
    <xf numFmtId="165" fontId="1" fillId="4" borderId="0" xfId="2" applyFont="1" applyFill="1" applyBorder="1" applyAlignment="1" applyProtection="1">
      <alignment horizontal="center" vertical="center"/>
    </xf>
    <xf numFmtId="166" fontId="15" fillId="4" borderId="1" xfId="3" applyNumberFormat="1" applyFill="1" applyBorder="1" applyAlignment="1" applyProtection="1">
      <alignment horizontal="center" vertical="center"/>
    </xf>
    <xf numFmtId="166" fontId="15" fillId="4" borderId="2" xfId="3" applyNumberFormat="1" applyFill="1" applyBorder="1" applyAlignment="1" applyProtection="1">
      <alignment horizontal="center" vertical="center"/>
    </xf>
    <xf numFmtId="0" fontId="14" fillId="4" borderId="0" xfId="0" applyFont="1" applyFill="1" applyBorder="1" applyAlignment="1" applyProtection="1">
      <alignment vertical="center"/>
    </xf>
    <xf numFmtId="165" fontId="4" fillId="4" borderId="0" xfId="2" applyFont="1" applyFill="1" applyBorder="1" applyAlignment="1" applyProtection="1">
      <alignment horizontal="center" vertical="center"/>
    </xf>
    <xf numFmtId="42" fontId="8" fillId="4" borderId="0" xfId="2" applyNumberFormat="1" applyFont="1" applyFill="1" applyBorder="1" applyAlignment="1" applyProtection="1">
      <alignment horizontal="center" vertical="center"/>
    </xf>
    <xf numFmtId="166" fontId="1" fillId="4" borderId="0" xfId="2" applyNumberFormat="1" applyFont="1" applyFill="1" applyAlignment="1" applyProtection="1">
      <alignment horizontal="center" vertical="center"/>
    </xf>
    <xf numFmtId="0" fontId="15" fillId="4" borderId="0" xfId="3" applyFill="1" applyAlignment="1" applyProtection="1">
      <alignment vertical="center"/>
    </xf>
    <xf numFmtId="168" fontId="1" fillId="4" borderId="1" xfId="1" applyNumberFormat="1" applyFont="1" applyFill="1" applyBorder="1" applyAlignment="1" applyProtection="1">
      <alignment horizontal="right" vertical="center"/>
    </xf>
    <xf numFmtId="0" fontId="15" fillId="4" borderId="0" xfId="3" applyFill="1" applyAlignment="1" applyProtection="1">
      <alignment horizontal="left" vertical="center"/>
    </xf>
    <xf numFmtId="10" fontId="0" fillId="4" borderId="0" xfId="1" applyNumberFormat="1" applyFont="1" applyFill="1"/>
    <xf numFmtId="166" fontId="17" fillId="4" borderId="0" xfId="3" applyNumberFormat="1" applyFont="1" applyFill="1" applyAlignment="1" applyProtection="1">
      <alignment vertical="center"/>
    </xf>
    <xf numFmtId="165" fontId="4" fillId="2" borderId="1" xfId="2" applyFont="1" applyFill="1" applyBorder="1" applyAlignment="1">
      <alignment horizontal="center" vertical="center"/>
    </xf>
    <xf numFmtId="0" fontId="4" fillId="2" borderId="1" xfId="2" applyNumberFormat="1" applyFont="1" applyFill="1" applyBorder="1" applyAlignment="1">
      <alignment horizontal="center" vertical="center"/>
    </xf>
    <xf numFmtId="0" fontId="4" fillId="4" borderId="4" xfId="0" applyFont="1" applyFill="1" applyBorder="1" applyAlignment="1" applyProtection="1">
      <alignment vertical="center"/>
    </xf>
    <xf numFmtId="10" fontId="4" fillId="4" borderId="4" xfId="0" applyNumberFormat="1" applyFont="1" applyFill="1" applyBorder="1" applyAlignment="1" applyProtection="1">
      <alignment horizontal="right" vertical="center"/>
    </xf>
    <xf numFmtId="10" fontId="4" fillId="4" borderId="4" xfId="0" applyNumberFormat="1" applyFont="1" applyFill="1" applyBorder="1" applyAlignment="1" applyProtection="1">
      <alignment vertical="center"/>
    </xf>
    <xf numFmtId="0" fontId="15" fillId="4" borderId="0" xfId="3" applyFill="1" applyAlignment="1" applyProtection="1"/>
    <xf numFmtId="0" fontId="0" fillId="4" borderId="0" xfId="0" applyFill="1" applyAlignment="1">
      <alignment horizontal="left" vertical="center"/>
    </xf>
    <xf numFmtId="166" fontId="1" fillId="0" borderId="18" xfId="2" applyNumberFormat="1" applyFont="1" applyFill="1" applyBorder="1" applyAlignment="1">
      <alignment vertical="center"/>
    </xf>
    <xf numFmtId="0" fontId="1" fillId="4" borderId="19" xfId="0" applyFont="1" applyFill="1" applyBorder="1" applyAlignment="1">
      <alignment horizontal="left" vertical="center"/>
    </xf>
    <xf numFmtId="9" fontId="1" fillId="0" borderId="11" xfId="1" applyFont="1" applyFill="1" applyBorder="1" applyAlignment="1">
      <alignment horizontal="right" vertical="center"/>
    </xf>
    <xf numFmtId="165" fontId="1" fillId="0" borderId="20" xfId="2" applyFont="1" applyFill="1" applyBorder="1" applyAlignment="1">
      <alignment vertical="center"/>
    </xf>
    <xf numFmtId="165" fontId="1" fillId="4" borderId="22" xfId="2" applyFont="1" applyFill="1" applyBorder="1" applyAlignment="1">
      <alignment horizontal="right" vertical="center"/>
    </xf>
    <xf numFmtId="9" fontId="1" fillId="0" borderId="25" xfId="1" applyFont="1" applyFill="1" applyBorder="1" applyAlignment="1">
      <alignment vertical="center"/>
    </xf>
    <xf numFmtId="165" fontId="1" fillId="0" borderId="28" xfId="0" applyNumberFormat="1" applyFont="1" applyFill="1" applyBorder="1" applyAlignment="1">
      <alignment horizontal="center" vertical="center"/>
    </xf>
    <xf numFmtId="165" fontId="1" fillId="0" borderId="29" xfId="2" applyFont="1" applyFill="1" applyBorder="1" applyAlignment="1">
      <alignment vertical="center"/>
    </xf>
    <xf numFmtId="9" fontId="1" fillId="0" borderId="4" xfId="1" applyFont="1" applyFill="1" applyBorder="1" applyAlignment="1">
      <alignment vertical="center"/>
    </xf>
    <xf numFmtId="165" fontId="1" fillId="0" borderId="31" xfId="2" applyFont="1" applyFill="1" applyBorder="1" applyAlignment="1">
      <alignment vertical="center"/>
    </xf>
    <xf numFmtId="165" fontId="1" fillId="0" borderId="33" xfId="2" applyFont="1" applyFill="1" applyBorder="1" applyAlignment="1">
      <alignment vertical="center"/>
    </xf>
    <xf numFmtId="165" fontId="4" fillId="0" borderId="15" xfId="2" applyFont="1" applyFill="1" applyBorder="1" applyAlignment="1">
      <alignment vertical="center"/>
    </xf>
    <xf numFmtId="170" fontId="0" fillId="4" borderId="0" xfId="0" applyNumberFormat="1" applyFill="1"/>
    <xf numFmtId="165" fontId="0" fillId="4" borderId="0" xfId="0" applyNumberFormat="1" applyFill="1"/>
    <xf numFmtId="10" fontId="0" fillId="6" borderId="4" xfId="0" applyNumberFormat="1" applyFill="1" applyBorder="1"/>
    <xf numFmtId="0" fontId="4" fillId="4" borderId="0" xfId="0" applyFont="1" applyFill="1" applyAlignment="1" applyProtection="1">
      <alignment horizontal="right" vertical="center"/>
    </xf>
    <xf numFmtId="166" fontId="4" fillId="4" borderId="3" xfId="2" applyNumberFormat="1" applyFont="1" applyFill="1" applyBorder="1" applyAlignment="1" applyProtection="1">
      <alignment horizontal="right" vertical="center"/>
    </xf>
    <xf numFmtId="166" fontId="4" fillId="4" borderId="2" xfId="2" applyNumberFormat="1" applyFont="1" applyFill="1" applyBorder="1" applyAlignment="1" applyProtection="1">
      <alignment horizontal="right" vertical="center"/>
    </xf>
    <xf numFmtId="0" fontId="1" fillId="4" borderId="1" xfId="3" applyFont="1" applyFill="1" applyBorder="1" applyAlignment="1" applyProtection="1">
      <alignment horizontal="center" vertical="center"/>
    </xf>
    <xf numFmtId="0" fontId="1" fillId="4" borderId="2" xfId="3" applyFont="1" applyFill="1" applyBorder="1" applyAlignment="1" applyProtection="1">
      <alignment horizontal="center" vertical="center"/>
    </xf>
    <xf numFmtId="0" fontId="1" fillId="4" borderId="1" xfId="0" applyFont="1" applyFill="1" applyBorder="1" applyAlignment="1" applyProtection="1">
      <alignment horizontal="center" vertical="center"/>
    </xf>
    <xf numFmtId="0" fontId="1" fillId="4" borderId="2" xfId="0" applyFont="1" applyFill="1" applyBorder="1" applyAlignment="1" applyProtection="1">
      <alignment horizontal="center" vertical="center"/>
    </xf>
    <xf numFmtId="0" fontId="1" fillId="4" borderId="0" xfId="0" applyFont="1" applyFill="1" applyAlignment="1" applyProtection="1">
      <alignment horizontal="left" vertical="top" wrapText="1"/>
    </xf>
    <xf numFmtId="0" fontId="7" fillId="4" borderId="0" xfId="0" applyFont="1" applyFill="1" applyBorder="1" applyAlignment="1" applyProtection="1">
      <alignment horizontal="right" vertical="center"/>
    </xf>
    <xf numFmtId="0" fontId="7" fillId="4" borderId="0" xfId="0" applyFont="1" applyFill="1" applyAlignment="1" applyProtection="1">
      <alignment horizontal="right" vertical="center"/>
    </xf>
    <xf numFmtId="14" fontId="7" fillId="4" borderId="0" xfId="0" applyNumberFormat="1" applyFont="1" applyFill="1" applyAlignment="1" applyProtection="1">
      <alignment horizontal="right" vertical="center"/>
    </xf>
    <xf numFmtId="0" fontId="4" fillId="8" borderId="3" xfId="0" applyFont="1" applyFill="1" applyBorder="1" applyAlignment="1" applyProtection="1">
      <alignment horizontal="left" vertical="center"/>
    </xf>
    <xf numFmtId="0" fontId="4" fillId="8" borderId="1" xfId="0" applyFont="1" applyFill="1" applyBorder="1" applyAlignment="1" applyProtection="1">
      <alignment horizontal="left" vertical="center"/>
    </xf>
    <xf numFmtId="0" fontId="4" fillId="8" borderId="2" xfId="0" applyFont="1" applyFill="1" applyBorder="1" applyAlignment="1" applyProtection="1">
      <alignment horizontal="left" vertical="center"/>
    </xf>
    <xf numFmtId="166" fontId="8" fillId="4" borderId="3" xfId="2" applyNumberFormat="1" applyFont="1" applyFill="1" applyBorder="1" applyAlignment="1" applyProtection="1">
      <alignment horizontal="right" vertical="center"/>
    </xf>
    <xf numFmtId="166" fontId="8" fillId="4" borderId="2" xfId="2" applyNumberFormat="1" applyFont="1" applyFill="1" applyBorder="1" applyAlignment="1" applyProtection="1">
      <alignment horizontal="right" vertical="center"/>
    </xf>
    <xf numFmtId="166" fontId="4" fillId="6" borderId="3" xfId="0" applyNumberFormat="1" applyFont="1" applyFill="1" applyBorder="1" applyAlignment="1" applyProtection="1">
      <alignment horizontal="center" vertical="center"/>
    </xf>
    <xf numFmtId="166" fontId="4" fillId="6" borderId="2" xfId="0" applyNumberFormat="1" applyFont="1" applyFill="1" applyBorder="1" applyAlignment="1" applyProtection="1">
      <alignment horizontal="center" vertical="center"/>
    </xf>
    <xf numFmtId="165" fontId="4" fillId="6" borderId="4" xfId="2" applyFont="1" applyFill="1" applyBorder="1" applyAlignment="1" applyProtection="1">
      <alignment horizontal="left" vertical="center"/>
    </xf>
    <xf numFmtId="166" fontId="8" fillId="4" borderId="0" xfId="2" applyNumberFormat="1" applyFont="1" applyFill="1" applyAlignment="1" applyProtection="1">
      <alignment horizontal="center" vertical="center"/>
    </xf>
    <xf numFmtId="165" fontId="7" fillId="4" borderId="0" xfId="2" applyFont="1" applyFill="1" applyAlignment="1" applyProtection="1">
      <alignment horizontal="center" vertical="center"/>
    </xf>
    <xf numFmtId="0" fontId="4" fillId="6" borderId="3" xfId="0" applyFont="1" applyFill="1" applyBorder="1" applyAlignment="1" applyProtection="1">
      <alignment horizontal="left" vertical="center"/>
    </xf>
    <xf numFmtId="0" fontId="4" fillId="6" borderId="1" xfId="0" applyFont="1" applyFill="1" applyBorder="1" applyAlignment="1" applyProtection="1">
      <alignment horizontal="left" vertical="center"/>
    </xf>
    <xf numFmtId="0" fontId="4" fillId="6" borderId="2" xfId="0" applyFont="1" applyFill="1" applyBorder="1" applyAlignment="1" applyProtection="1">
      <alignment horizontal="left" vertical="center"/>
    </xf>
    <xf numFmtId="0" fontId="4" fillId="4" borderId="1" xfId="0" applyFont="1" applyFill="1" applyBorder="1" applyAlignment="1" applyProtection="1">
      <alignment horizontal="left" vertical="center"/>
    </xf>
    <xf numFmtId="166" fontId="8" fillId="4" borderId="1" xfId="2" applyNumberFormat="1" applyFont="1" applyFill="1" applyBorder="1" applyAlignment="1" applyProtection="1">
      <alignment horizontal="right" vertical="center"/>
    </xf>
    <xf numFmtId="166" fontId="8" fillId="4" borderId="6" xfId="2" applyNumberFormat="1" applyFont="1" applyFill="1" applyBorder="1" applyAlignment="1" applyProtection="1">
      <alignment horizontal="right" vertical="center"/>
    </xf>
    <xf numFmtId="166" fontId="4" fillId="6" borderId="4" xfId="2" applyNumberFormat="1" applyFont="1" applyFill="1" applyBorder="1" applyAlignment="1" applyProtection="1">
      <alignment horizontal="right" vertical="center"/>
    </xf>
    <xf numFmtId="166" fontId="8" fillId="4" borderId="4" xfId="2" applyNumberFormat="1" applyFont="1" applyFill="1" applyBorder="1" applyAlignment="1" applyProtection="1">
      <alignment horizontal="right" vertical="center"/>
    </xf>
    <xf numFmtId="166" fontId="1" fillId="4" borderId="1" xfId="2" applyNumberFormat="1" applyFont="1" applyFill="1" applyBorder="1" applyAlignment="1" applyProtection="1">
      <alignment horizontal="center" vertical="center"/>
    </xf>
    <xf numFmtId="166" fontId="1" fillId="4" borderId="2" xfId="2" applyNumberFormat="1" applyFont="1" applyFill="1" applyBorder="1" applyAlignment="1" applyProtection="1">
      <alignment horizontal="center" vertical="center"/>
    </xf>
    <xf numFmtId="166" fontId="1" fillId="4" borderId="3" xfId="2" applyNumberFormat="1" applyFont="1" applyFill="1" applyBorder="1" applyAlignment="1" applyProtection="1">
      <alignment horizontal="center" vertical="center"/>
    </xf>
    <xf numFmtId="166" fontId="8" fillId="4" borderId="3" xfId="2" applyNumberFormat="1" applyFont="1" applyFill="1" applyBorder="1" applyAlignment="1" applyProtection="1">
      <alignment horizontal="center" vertical="center"/>
    </xf>
    <xf numFmtId="166" fontId="8" fillId="4" borderId="2" xfId="2" applyNumberFormat="1" applyFont="1" applyFill="1" applyBorder="1" applyAlignment="1" applyProtection="1">
      <alignment horizontal="center" vertical="center"/>
    </xf>
    <xf numFmtId="166" fontId="15" fillId="4" borderId="5" xfId="3" applyNumberFormat="1" applyFill="1" applyBorder="1" applyAlignment="1" applyProtection="1">
      <alignment horizontal="center" vertical="center"/>
    </xf>
    <xf numFmtId="166" fontId="15" fillId="4" borderId="8" xfId="3" applyNumberFormat="1" applyFill="1" applyBorder="1" applyAlignment="1" applyProtection="1">
      <alignment horizontal="center" vertical="center"/>
    </xf>
    <xf numFmtId="166" fontId="15" fillId="4" borderId="1" xfId="3" applyNumberFormat="1" applyFill="1" applyBorder="1" applyAlignment="1" applyProtection="1">
      <alignment horizontal="center" vertical="center"/>
    </xf>
    <xf numFmtId="166" fontId="15" fillId="4" borderId="2" xfId="3" applyNumberFormat="1" applyFill="1" applyBorder="1" applyAlignment="1" applyProtection="1">
      <alignment horizontal="center" vertical="center"/>
    </xf>
    <xf numFmtId="0" fontId="2" fillId="8" borderId="3" xfId="0" applyFont="1" applyFill="1" applyBorder="1" applyAlignment="1" applyProtection="1">
      <alignment horizontal="center" vertical="center"/>
    </xf>
    <xf numFmtId="0" fontId="2" fillId="8" borderId="1" xfId="0" applyFont="1" applyFill="1" applyBorder="1" applyAlignment="1" applyProtection="1">
      <alignment horizontal="center" vertical="center"/>
    </xf>
    <xf numFmtId="0" fontId="2" fillId="8" borderId="2" xfId="0" applyFont="1" applyFill="1" applyBorder="1" applyAlignment="1" applyProtection="1">
      <alignment horizontal="center" vertical="center"/>
    </xf>
    <xf numFmtId="0" fontId="4" fillId="6" borderId="3" xfId="0" applyFont="1" applyFill="1" applyBorder="1" applyAlignment="1" applyProtection="1">
      <alignment horizontal="right" vertical="center"/>
    </xf>
    <xf numFmtId="0" fontId="4" fillId="6" borderId="1" xfId="0" applyFont="1" applyFill="1" applyBorder="1" applyAlignment="1" applyProtection="1">
      <alignment horizontal="right" vertical="center"/>
    </xf>
    <xf numFmtId="0" fontId="4" fillId="6" borderId="3"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4" fillId="6" borderId="2" xfId="0" applyFont="1" applyFill="1" applyBorder="1" applyAlignment="1" applyProtection="1">
      <alignment horizontal="center" vertical="center"/>
    </xf>
    <xf numFmtId="0" fontId="4" fillId="4" borderId="0" xfId="0" applyFont="1" applyFill="1" applyAlignment="1" applyProtection="1">
      <alignment horizontal="center" vertical="center"/>
    </xf>
    <xf numFmtId="0" fontId="1" fillId="4" borderId="9" xfId="0" applyFont="1" applyFill="1" applyBorder="1" applyAlignment="1" applyProtection="1">
      <alignment horizontal="right" vertical="center"/>
    </xf>
    <xf numFmtId="0" fontId="1" fillId="4" borderId="6" xfId="0" applyFont="1" applyFill="1" applyBorder="1" applyAlignment="1" applyProtection="1">
      <alignment horizontal="right" vertical="center"/>
    </xf>
    <xf numFmtId="166" fontId="4" fillId="6" borderId="7" xfId="2" applyNumberFormat="1" applyFont="1" applyFill="1" applyBorder="1" applyAlignment="1" applyProtection="1">
      <alignment horizontal="right" vertical="center"/>
    </xf>
    <xf numFmtId="166" fontId="4" fillId="6" borderId="8" xfId="2" applyNumberFormat="1" applyFont="1" applyFill="1" applyBorder="1" applyAlignment="1" applyProtection="1">
      <alignment horizontal="right" vertical="center"/>
    </xf>
    <xf numFmtId="166" fontId="4" fillId="6" borderId="4" xfId="0" applyNumberFormat="1" applyFont="1" applyFill="1" applyBorder="1" applyAlignment="1" applyProtection="1">
      <alignment horizontal="center" vertical="center"/>
    </xf>
    <xf numFmtId="166" fontId="8" fillId="4" borderId="9" xfId="2" applyNumberFormat="1" applyFont="1" applyFill="1" applyBorder="1" applyAlignment="1" applyProtection="1">
      <alignment horizontal="right" vertical="center"/>
    </xf>
    <xf numFmtId="166" fontId="8" fillId="4" borderId="10" xfId="2" applyNumberFormat="1" applyFont="1" applyFill="1" applyBorder="1" applyAlignment="1" applyProtection="1">
      <alignment horizontal="right" vertical="center"/>
    </xf>
    <xf numFmtId="0" fontId="8" fillId="4" borderId="2" xfId="0" applyFont="1" applyFill="1" applyBorder="1" applyAlignment="1" applyProtection="1">
      <alignment horizontal="center" vertical="center"/>
    </xf>
    <xf numFmtId="165" fontId="8" fillId="4" borderId="1" xfId="2" applyFont="1" applyFill="1" applyBorder="1" applyAlignment="1" applyProtection="1">
      <alignment horizontal="center" vertical="center"/>
    </xf>
    <xf numFmtId="165" fontId="8" fillId="4" borderId="2" xfId="2" applyFont="1" applyFill="1" applyBorder="1" applyAlignment="1" applyProtection="1">
      <alignment horizontal="center" vertical="center"/>
    </xf>
    <xf numFmtId="10" fontId="1" fillId="0" borderId="1" xfId="0" applyNumberFormat="1" applyFont="1" applyFill="1" applyBorder="1" applyAlignment="1">
      <alignment horizontal="center" vertical="center"/>
    </xf>
    <xf numFmtId="10" fontId="1" fillId="0" borderId="2" xfId="0" applyNumberFormat="1" applyFont="1" applyFill="1" applyBorder="1" applyAlignment="1">
      <alignment horizontal="center" vertical="center"/>
    </xf>
    <xf numFmtId="165" fontId="1" fillId="0" borderId="34" xfId="2" applyFont="1" applyFill="1" applyBorder="1" applyAlignment="1">
      <alignment horizontal="center" vertical="center"/>
    </xf>
    <xf numFmtId="165" fontId="1" fillId="0" borderId="0" xfId="2" applyFont="1" applyFill="1" applyBorder="1" applyAlignment="1">
      <alignment horizontal="center" vertical="center"/>
    </xf>
    <xf numFmtId="165" fontId="1" fillId="0" borderId="35" xfId="2" applyFont="1" applyFill="1" applyBorder="1" applyAlignment="1">
      <alignment horizontal="center" vertical="center"/>
    </xf>
    <xf numFmtId="165" fontId="4" fillId="0" borderId="13" xfId="2" applyFont="1" applyFill="1" applyBorder="1" applyAlignment="1">
      <alignment horizontal="center" vertical="center"/>
    </xf>
    <xf numFmtId="165" fontId="4" fillId="0" borderId="14" xfId="2" applyFont="1" applyFill="1" applyBorder="1" applyAlignment="1">
      <alignment horizontal="center" vertical="center"/>
    </xf>
    <xf numFmtId="0" fontId="4" fillId="2" borderId="4" xfId="0" applyFont="1" applyFill="1" applyBorder="1" applyAlignment="1">
      <alignment horizontal="left" vertical="center"/>
    </xf>
    <xf numFmtId="0" fontId="4" fillId="2" borderId="4" xfId="0" applyFont="1" applyFill="1" applyBorder="1"/>
    <xf numFmtId="0" fontId="1" fillId="0" borderId="0" xfId="0" applyFont="1" applyFill="1" applyBorder="1" applyAlignment="1">
      <alignment horizontal="left" vertical="center"/>
    </xf>
    <xf numFmtId="0" fontId="4" fillId="2" borderId="3"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166" fontId="4" fillId="0" borderId="13" xfId="2" applyNumberFormat="1" applyFont="1" applyFill="1" applyBorder="1" applyAlignment="1">
      <alignment horizontal="center" vertical="center"/>
    </xf>
    <xf numFmtId="166" fontId="4" fillId="0" borderId="14" xfId="2" applyNumberFormat="1" applyFont="1" applyFill="1" applyBorder="1" applyAlignment="1">
      <alignment horizontal="center" vertical="center"/>
    </xf>
    <xf numFmtId="166" fontId="4" fillId="0" borderId="15" xfId="2" applyNumberFormat="1" applyFont="1" applyFill="1" applyBorder="1" applyAlignment="1">
      <alignment horizontal="center" vertical="center"/>
    </xf>
    <xf numFmtId="166" fontId="1" fillId="0" borderId="16" xfId="2" applyNumberFormat="1" applyFont="1" applyFill="1" applyBorder="1" applyAlignment="1">
      <alignment horizontal="left" vertical="center"/>
    </xf>
    <xf numFmtId="166" fontId="1" fillId="0" borderId="17" xfId="2" applyNumberFormat="1" applyFont="1" applyFill="1" applyBorder="1" applyAlignment="1">
      <alignment horizontal="left" vertical="center"/>
    </xf>
    <xf numFmtId="165" fontId="1" fillId="4" borderId="21" xfId="2" applyFont="1" applyFill="1" applyBorder="1" applyAlignment="1">
      <alignment horizontal="left" vertical="center" wrapText="1"/>
    </xf>
    <xf numFmtId="165" fontId="1" fillId="4" borderId="24" xfId="2" applyFont="1" applyFill="1" applyBorder="1" applyAlignment="1">
      <alignment horizontal="left" vertical="center" wrapText="1"/>
    </xf>
    <xf numFmtId="165" fontId="1" fillId="4" borderId="23" xfId="2" applyFont="1" applyFill="1" applyBorder="1" applyAlignment="1">
      <alignment horizontal="center" vertical="center"/>
    </xf>
    <xf numFmtId="165" fontId="1" fillId="4" borderId="26" xfId="2" applyFont="1" applyFill="1" applyBorder="1" applyAlignment="1">
      <alignment horizontal="center" vertical="center"/>
    </xf>
    <xf numFmtId="165" fontId="1" fillId="0" borderId="27" xfId="2" applyFont="1" applyFill="1" applyBorder="1" applyAlignment="1">
      <alignment horizontal="left" vertical="center" wrapText="1"/>
    </xf>
    <xf numFmtId="165" fontId="1" fillId="0" borderId="30" xfId="2" applyFont="1" applyFill="1" applyBorder="1" applyAlignment="1">
      <alignment horizontal="left" vertical="center" wrapText="1"/>
    </xf>
    <xf numFmtId="165" fontId="1" fillId="0" borderId="32" xfId="2" applyFont="1" applyFill="1" applyBorder="1" applyAlignment="1">
      <alignment horizontal="left" vertical="center" wrapText="1"/>
    </xf>
    <xf numFmtId="0" fontId="4" fillId="5" borderId="4" xfId="0" applyFont="1" applyFill="1" applyBorder="1" applyAlignment="1">
      <alignment horizontal="center" vertical="center"/>
    </xf>
    <xf numFmtId="0" fontId="4" fillId="2" borderId="11" xfId="0" applyFont="1" applyFill="1" applyBorder="1" applyAlignment="1">
      <alignment horizontal="left" vertical="center"/>
    </xf>
    <xf numFmtId="10" fontId="8" fillId="4" borderId="0" xfId="0" applyNumberFormat="1" applyFont="1" applyFill="1" applyBorder="1" applyAlignment="1">
      <alignment horizontal="right" vertical="center"/>
    </xf>
    <xf numFmtId="0" fontId="8" fillId="4" borderId="0" xfId="0" applyFont="1" applyFill="1" applyBorder="1" applyAlignment="1">
      <alignment horizontal="left" vertical="center"/>
    </xf>
    <xf numFmtId="10" fontId="4" fillId="2" borderId="1" xfId="0" applyNumberFormat="1" applyFont="1" applyFill="1" applyBorder="1" applyAlignment="1">
      <alignment horizontal="center" vertical="center"/>
    </xf>
    <xf numFmtId="10" fontId="4" fillId="2" borderId="2" xfId="0" applyNumberFormat="1" applyFont="1" applyFill="1" applyBorder="1" applyAlignment="1">
      <alignment horizontal="center" vertical="center"/>
    </xf>
    <xf numFmtId="164" fontId="8" fillId="0" borderId="0" xfId="0" applyNumberFormat="1" applyFont="1" applyFill="1" applyBorder="1" applyAlignment="1">
      <alignment horizontal="center" vertical="center"/>
    </xf>
    <xf numFmtId="0" fontId="4" fillId="0" borderId="4" xfId="0" applyFont="1" applyFill="1" applyBorder="1" applyAlignment="1">
      <alignment horizontal="left" vertical="center"/>
    </xf>
    <xf numFmtId="0" fontId="4" fillId="7" borderId="3" xfId="0" applyFont="1" applyFill="1" applyBorder="1" applyAlignment="1">
      <alignment horizontal="left" vertical="center"/>
    </xf>
    <xf numFmtId="0" fontId="4" fillId="7" borderId="1" xfId="0" applyFont="1" applyFill="1" applyBorder="1" applyAlignment="1">
      <alignment horizontal="left" vertical="center"/>
    </xf>
    <xf numFmtId="0" fontId="4" fillId="7" borderId="2" xfId="0" applyFont="1" applyFill="1" applyBorder="1" applyAlignment="1">
      <alignment horizontal="left" vertical="center"/>
    </xf>
    <xf numFmtId="39" fontId="4" fillId="2" borderId="1" xfId="0" applyNumberFormat="1" applyFont="1" applyFill="1" applyBorder="1" applyAlignment="1">
      <alignment horizontal="center" vertical="center"/>
    </xf>
    <xf numFmtId="39" fontId="4" fillId="2" borderId="2" xfId="0" applyNumberFormat="1" applyFont="1" applyFill="1" applyBorder="1" applyAlignment="1">
      <alignment horizontal="center" vertical="center"/>
    </xf>
    <xf numFmtId="0" fontId="4" fillId="0" borderId="3" xfId="0" applyFont="1" applyFill="1" applyBorder="1" applyAlignment="1">
      <alignment horizontal="left" vertical="center"/>
    </xf>
    <xf numFmtId="0" fontId="4" fillId="0" borderId="1" xfId="0" applyFont="1" applyFill="1" applyBorder="1" applyAlignment="1">
      <alignment horizontal="left" vertical="center"/>
    </xf>
    <xf numFmtId="0" fontId="4" fillId="0" borderId="2" xfId="0" applyFont="1" applyFill="1" applyBorder="1" applyAlignment="1">
      <alignment horizontal="left" vertical="center"/>
    </xf>
    <xf numFmtId="166" fontId="8" fillId="2" borderId="3" xfId="0" applyNumberFormat="1" applyFont="1" applyFill="1" applyBorder="1" applyAlignment="1">
      <alignment horizontal="center" vertical="center"/>
    </xf>
    <xf numFmtId="166" fontId="8" fillId="2" borderId="2" xfId="0" applyNumberFormat="1" applyFont="1" applyFill="1" applyBorder="1" applyAlignment="1">
      <alignment horizontal="center" vertical="center"/>
    </xf>
    <xf numFmtId="166" fontId="8" fillId="0" borderId="3" xfId="0" applyNumberFormat="1" applyFont="1" applyFill="1" applyBorder="1" applyAlignment="1">
      <alignment horizontal="center" vertical="center"/>
    </xf>
    <xf numFmtId="166" fontId="8" fillId="0" borderId="2" xfId="0" applyNumberFormat="1" applyFont="1" applyFill="1" applyBorder="1" applyAlignment="1">
      <alignment horizontal="center" vertical="center"/>
    </xf>
    <xf numFmtId="0" fontId="4" fillId="4" borderId="5" xfId="0" applyFont="1" applyFill="1" applyBorder="1" applyAlignment="1">
      <alignment horizontal="center"/>
    </xf>
    <xf numFmtId="0" fontId="4" fillId="9" borderId="4" xfId="0" applyFont="1" applyFill="1" applyBorder="1" applyAlignment="1">
      <alignment horizontal="center" vertical="center"/>
    </xf>
    <xf numFmtId="10" fontId="1" fillId="4" borderId="0" xfId="1" applyNumberFormat="1" applyFont="1" applyFill="1"/>
  </cellXfs>
  <cellStyles count="4">
    <cellStyle name="Hyperlink" xfId="3" builtinId="8"/>
    <cellStyle name="Normal" xfId="0" builtinId="0"/>
    <cellStyle name="Porcentagem" xfId="1" builtinId="5"/>
    <cellStyle name="Separador de milhares" xfId="2"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neel.gov.br/cedoc/dsp20094774.pdf" TargetMode="External"/><Relationship Id="rId2" Type="http://schemas.openxmlformats.org/officeDocument/2006/relationships/hyperlink" Target="http://www.planalto.gov.br/ccivil_03/leis/L9427cons.htm" TargetMode="External"/><Relationship Id="rId1" Type="http://schemas.openxmlformats.org/officeDocument/2006/relationships/hyperlink" Target="http://www.inee.org.br/down_loads/forum/Parecer%20INEE%20Proinfra.pdf" TargetMode="External"/><Relationship Id="rId5" Type="http://schemas.openxmlformats.org/officeDocument/2006/relationships/printerSettings" Target="../printerSettings/printerSettings1.bin"/><Relationship Id="rId4" Type="http://schemas.openxmlformats.org/officeDocument/2006/relationships/hyperlink" Target="http://www.aneel.gov.br/cedoc/reh2009794.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forexpros.com.pt/commodities/carbon-emissions-historical-data" TargetMode="External"/><Relationship Id="rId2" Type="http://schemas.openxmlformats.org/officeDocument/2006/relationships/hyperlink" Target="http://www.mct.gov.br/index.php/content/view/327118.html" TargetMode="External"/><Relationship Id="rId1" Type="http://schemas.openxmlformats.org/officeDocument/2006/relationships/hyperlink" Target="http://economia.uol.com.br/cotacoes/cambio/euro-uniao-europeia-historico.jht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codeName="Plan1"/>
  <dimension ref="A1:CC104"/>
  <sheetViews>
    <sheetView tabSelected="1" zoomScale="80" zoomScaleNormal="80" workbookViewId="0">
      <selection activeCell="H15" sqref="H15"/>
    </sheetView>
  </sheetViews>
  <sheetFormatPr defaultColWidth="9.140625" defaultRowHeight="12.75"/>
  <cols>
    <col min="1" max="1" width="8.7109375" style="37" customWidth="1"/>
    <col min="2" max="2" width="10.5703125" style="37" customWidth="1"/>
    <col min="3" max="3" width="19.42578125" style="37" customWidth="1"/>
    <col min="4" max="4" width="8" style="37" customWidth="1"/>
    <col min="5" max="5" width="17.85546875" style="37" bestFit="1" customWidth="1"/>
    <col min="6" max="6" width="19" style="37" customWidth="1"/>
    <col min="7" max="7" width="16.28515625" style="37" customWidth="1"/>
    <col min="8" max="8" width="30.7109375" style="37" customWidth="1"/>
    <col min="9" max="9" width="31.42578125" style="37" customWidth="1"/>
    <col min="10" max="11" width="8.7109375" style="38" customWidth="1"/>
    <col min="12" max="12" width="18.5703125" style="75" customWidth="1"/>
    <col min="13" max="13" width="9.5703125" style="75" bestFit="1" customWidth="1"/>
    <col min="14" max="14" width="15" style="75" bestFit="1" customWidth="1"/>
    <col min="15" max="81" width="9.140625" style="75"/>
    <col min="82" max="82" width="9.140625" style="37" customWidth="1"/>
    <col min="83" max="16384" width="9.140625" style="37"/>
  </cols>
  <sheetData>
    <row r="1" spans="1:81" s="32" customFormat="1" ht="15.75">
      <c r="A1" s="283" t="s">
        <v>60</v>
      </c>
      <c r="B1" s="284"/>
      <c r="C1" s="284"/>
      <c r="D1" s="284"/>
      <c r="E1" s="284"/>
      <c r="F1" s="284"/>
      <c r="G1" s="284"/>
      <c r="H1" s="284"/>
      <c r="I1" s="284"/>
      <c r="J1" s="284"/>
      <c r="K1" s="285"/>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row>
    <row r="2" spans="1:81" s="69" customFormat="1" ht="15">
      <c r="A2" s="286" t="s">
        <v>61</v>
      </c>
      <c r="B2" s="287"/>
      <c r="C2" s="146">
        <v>40431</v>
      </c>
      <c r="D2" s="292" t="s">
        <v>69</v>
      </c>
      <c r="E2" s="293"/>
      <c r="F2" s="159">
        <v>40529</v>
      </c>
      <c r="G2" s="159"/>
      <c r="J2" s="70"/>
      <c r="K2" s="70"/>
    </row>
    <row r="3" spans="1:81" s="31" customFormat="1" ht="15">
      <c r="A3" s="288" t="s">
        <v>21</v>
      </c>
      <c r="B3" s="289"/>
      <c r="C3" s="290"/>
      <c r="D3" s="69"/>
      <c r="E3" s="69"/>
      <c r="F3" s="69"/>
      <c r="G3" s="69"/>
      <c r="H3" s="69"/>
      <c r="I3" s="69"/>
      <c r="J3" s="70"/>
      <c r="K3" s="145"/>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row>
    <row r="4" spans="1:81" s="73" customFormat="1" ht="15">
      <c r="C4" s="160"/>
      <c r="D4" s="161"/>
      <c r="E4" s="161"/>
      <c r="F4" s="161"/>
      <c r="G4" s="214"/>
      <c r="J4" s="79"/>
      <c r="K4" s="79"/>
      <c r="L4" s="253"/>
      <c r="M4" s="254"/>
      <c r="N4" s="151"/>
      <c r="O4" s="140"/>
    </row>
    <row r="5" spans="1:81" s="73" customFormat="1">
      <c r="A5" s="291" t="s">
        <v>62</v>
      </c>
      <c r="B5" s="291"/>
      <c r="C5" s="147">
        <f>J23*'Sensitivity Analysis'!D2</f>
        <v>158985229.45533299</v>
      </c>
      <c r="E5" s="81"/>
      <c r="F5" s="81"/>
      <c r="G5" s="215"/>
      <c r="H5" s="172"/>
      <c r="J5" s="76"/>
      <c r="K5" s="79"/>
      <c r="L5" s="152"/>
      <c r="M5" s="152"/>
      <c r="N5" s="153"/>
    </row>
    <row r="6" spans="1:81" s="73" customFormat="1">
      <c r="A6" s="291" t="s">
        <v>63</v>
      </c>
      <c r="B6" s="291"/>
      <c r="C6" s="148" t="s">
        <v>9</v>
      </c>
      <c r="D6" s="83">
        <v>0.1</v>
      </c>
      <c r="E6" s="149">
        <f>+$C$5*D6</f>
        <v>15898522.9455333</v>
      </c>
      <c r="F6" s="149"/>
      <c r="G6" s="216"/>
      <c r="H6" s="217"/>
      <c r="I6" s="162"/>
      <c r="J6" s="78"/>
      <c r="K6" s="79"/>
      <c r="L6" s="75"/>
      <c r="M6" s="75"/>
      <c r="N6" s="75"/>
    </row>
    <row r="7" spans="1:81" s="73" customFormat="1">
      <c r="B7" s="80"/>
      <c r="C7" s="148" t="s">
        <v>10</v>
      </c>
      <c r="D7" s="83">
        <v>0.5</v>
      </c>
      <c r="E7" s="149">
        <f>+$C$5*D7</f>
        <v>79492614.727666497</v>
      </c>
      <c r="F7" s="149"/>
      <c r="G7" s="216"/>
      <c r="H7" s="163"/>
      <c r="I7" s="162"/>
      <c r="J7" s="78"/>
      <c r="K7" s="79"/>
      <c r="L7" s="255"/>
      <c r="M7" s="255"/>
      <c r="N7" s="154"/>
    </row>
    <row r="8" spans="1:81" s="73" customFormat="1">
      <c r="B8" s="80"/>
      <c r="C8" s="148" t="s">
        <v>11</v>
      </c>
      <c r="D8" s="83">
        <v>0.4</v>
      </c>
      <c r="E8" s="149">
        <f>+$C$5*D8</f>
        <v>63594091.782133199</v>
      </c>
      <c r="F8" s="149"/>
      <c r="G8" s="149"/>
      <c r="H8" s="167"/>
      <c r="I8" s="166"/>
      <c r="J8" s="78"/>
      <c r="K8" s="79"/>
      <c r="N8" s="155"/>
    </row>
    <row r="9" spans="1:81" s="73" customFormat="1">
      <c r="B9" s="80"/>
      <c r="C9" s="148" t="s">
        <v>12</v>
      </c>
      <c r="D9" s="150">
        <v>0</v>
      </c>
      <c r="E9" s="143"/>
      <c r="F9" s="85"/>
      <c r="G9" s="170"/>
      <c r="H9" s="167"/>
      <c r="I9" s="166"/>
      <c r="J9" s="78"/>
      <c r="K9" s="79"/>
    </row>
    <row r="10" spans="1:81" s="73" customFormat="1">
      <c r="B10" s="80"/>
      <c r="C10" s="148" t="s">
        <v>13</v>
      </c>
      <c r="D10" s="150">
        <v>0</v>
      </c>
      <c r="E10" s="143"/>
      <c r="H10" s="167"/>
      <c r="I10" s="166"/>
      <c r="J10" s="78"/>
      <c r="K10" s="79"/>
    </row>
    <row r="11" spans="1:81" s="73" customFormat="1">
      <c r="B11" s="80"/>
      <c r="C11" s="148" t="s">
        <v>14</v>
      </c>
      <c r="D11" s="150">
        <v>0</v>
      </c>
      <c r="E11" s="143"/>
      <c r="H11" s="78"/>
      <c r="I11" s="264"/>
      <c r="J11" s="264"/>
      <c r="K11" s="79"/>
    </row>
    <row r="12" spans="1:81" s="73" customFormat="1">
      <c r="B12" s="80"/>
      <c r="C12" s="148" t="s">
        <v>15</v>
      </c>
      <c r="D12" s="150">
        <v>0</v>
      </c>
      <c r="E12" s="143"/>
      <c r="I12" s="79"/>
    </row>
    <row r="13" spans="1:81" s="73" customFormat="1">
      <c r="B13" s="80"/>
      <c r="C13" s="148" t="s">
        <v>16</v>
      </c>
      <c r="D13" s="150">
        <v>0</v>
      </c>
      <c r="E13" s="143"/>
      <c r="F13" s="85"/>
      <c r="G13" s="225" t="s">
        <v>107</v>
      </c>
      <c r="H13" s="227">
        <f>'Cash Flow'!$B$25</f>
        <v>6.9185662512983415E-2</v>
      </c>
      <c r="I13" s="79"/>
      <c r="L13" s="74"/>
    </row>
    <row r="14" spans="1:81" s="73" customFormat="1">
      <c r="B14" s="80"/>
      <c r="C14" s="148" t="s">
        <v>17</v>
      </c>
      <c r="D14" s="150">
        <v>0</v>
      </c>
      <c r="E14" s="143"/>
      <c r="F14" s="85"/>
      <c r="G14" s="225" t="s">
        <v>101</v>
      </c>
      <c r="H14" s="226">
        <v>0.1036</v>
      </c>
      <c r="I14" s="79"/>
    </row>
    <row r="15" spans="1:81" s="73" customFormat="1">
      <c r="B15" s="80"/>
      <c r="C15" s="148" t="s">
        <v>18</v>
      </c>
      <c r="D15" s="150">
        <v>0</v>
      </c>
      <c r="E15" s="143"/>
      <c r="F15" s="85"/>
      <c r="G15" s="170"/>
      <c r="H15" s="78"/>
      <c r="K15" s="79"/>
      <c r="N15" s="74"/>
    </row>
    <row r="16" spans="1:81" s="73" customFormat="1">
      <c r="B16" s="80"/>
      <c r="C16" s="80"/>
      <c r="D16" s="84"/>
      <c r="E16" s="82"/>
      <c r="F16" s="82"/>
      <c r="I16" s="222"/>
    </row>
    <row r="17" spans="1:81" s="73" customFormat="1">
      <c r="D17" s="86"/>
      <c r="E17" s="265"/>
      <c r="F17" s="265"/>
      <c r="G17" s="169"/>
      <c r="H17" s="87"/>
      <c r="I17" s="88"/>
      <c r="J17" s="79"/>
      <c r="K17" s="79"/>
    </row>
    <row r="18" spans="1:81" s="73" customFormat="1">
      <c r="A18" s="245" t="s">
        <v>82</v>
      </c>
      <c r="B18" s="245"/>
      <c r="C18" s="245"/>
      <c r="D18" s="171">
        <f>H14</f>
        <v>0.1036</v>
      </c>
      <c r="E18" s="89" t="s">
        <v>20</v>
      </c>
      <c r="I18" s="85"/>
      <c r="J18" s="90"/>
      <c r="K18" s="79"/>
    </row>
    <row r="19" spans="1:81" s="73" customFormat="1">
      <c r="A19" s="245" t="s">
        <v>83</v>
      </c>
      <c r="B19" s="245"/>
      <c r="C19" s="245"/>
      <c r="D19" s="91">
        <v>3</v>
      </c>
      <c r="E19" s="89" t="s">
        <v>19</v>
      </c>
      <c r="I19" s="85"/>
      <c r="J19" s="90"/>
      <c r="K19" s="79"/>
    </row>
    <row r="20" spans="1:81" s="75" customFormat="1" ht="15" customHeight="1">
      <c r="J20" s="78"/>
      <c r="K20" s="78"/>
    </row>
    <row r="21" spans="1:81" ht="15" customHeight="1">
      <c r="A21" s="256" t="s">
        <v>49</v>
      </c>
      <c r="B21" s="257"/>
      <c r="C21" s="257"/>
      <c r="D21" s="257"/>
      <c r="E21" s="257"/>
      <c r="F21" s="257"/>
      <c r="G21" s="257"/>
      <c r="H21" s="257"/>
      <c r="I21" s="257"/>
      <c r="J21" s="257"/>
      <c r="K21" s="258"/>
      <c r="L21" s="252" t="s">
        <v>104</v>
      </c>
    </row>
    <row r="22" spans="1:81" s="33" customFormat="1" ht="15" customHeight="1">
      <c r="A22" s="266" t="s">
        <v>22</v>
      </c>
      <c r="B22" s="267"/>
      <c r="C22" s="267"/>
      <c r="D22" s="267"/>
      <c r="E22" s="267"/>
      <c r="F22" s="267"/>
      <c r="G22" s="267"/>
      <c r="H22" s="267"/>
      <c r="I22" s="268"/>
      <c r="J22" s="261" t="s">
        <v>3</v>
      </c>
      <c r="K22" s="262"/>
      <c r="L22" s="252"/>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row>
    <row r="23" spans="1:81" s="33" customFormat="1" ht="15" customHeight="1">
      <c r="A23" s="266" t="s">
        <v>23</v>
      </c>
      <c r="B23" s="267"/>
      <c r="C23" s="267"/>
      <c r="D23" s="267"/>
      <c r="E23" s="267"/>
      <c r="F23" s="267"/>
      <c r="G23" s="267"/>
      <c r="H23" s="267"/>
      <c r="I23" s="268"/>
      <c r="J23" s="263">
        <v>158985229.45533299</v>
      </c>
      <c r="K23" s="263"/>
      <c r="L23" s="252"/>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row>
    <row r="24" spans="1:81" s="73" customFormat="1" ht="15" customHeight="1">
      <c r="A24" s="95"/>
      <c r="B24" s="95"/>
      <c r="C24" s="95"/>
      <c r="D24" s="95"/>
      <c r="E24" s="95"/>
      <c r="F24" s="95"/>
      <c r="G24" s="95"/>
      <c r="H24" s="95"/>
      <c r="I24" s="95"/>
      <c r="J24" s="96"/>
      <c r="K24" s="96"/>
      <c r="L24" s="252"/>
    </row>
    <row r="25" spans="1:81" s="73" customFormat="1" ht="15" customHeight="1">
      <c r="A25" s="95"/>
      <c r="B25" s="95"/>
      <c r="C25" s="95"/>
      <c r="D25" s="95"/>
      <c r="E25" s="95"/>
      <c r="F25" s="95"/>
      <c r="G25" s="95"/>
      <c r="H25" s="95"/>
      <c r="I25" s="95"/>
      <c r="J25" s="96"/>
      <c r="K25" s="96"/>
      <c r="L25" s="252"/>
    </row>
    <row r="26" spans="1:81" ht="15" customHeight="1">
      <c r="A26" s="256" t="s">
        <v>24</v>
      </c>
      <c r="B26" s="257"/>
      <c r="C26" s="257"/>
      <c r="D26" s="257"/>
      <c r="E26" s="257"/>
      <c r="F26" s="257"/>
      <c r="G26" s="257"/>
      <c r="H26" s="257"/>
      <c r="I26" s="257"/>
      <c r="J26" s="257"/>
      <c r="K26" s="258"/>
    </row>
    <row r="27" spans="1:81" ht="15" customHeight="1">
      <c r="A27" s="266" t="s">
        <v>22</v>
      </c>
      <c r="B27" s="267"/>
      <c r="C27" s="267"/>
      <c r="D27" s="267"/>
      <c r="E27" s="267"/>
      <c r="F27" s="267"/>
      <c r="G27" s="267"/>
      <c r="H27" s="267"/>
      <c r="I27" s="268"/>
      <c r="J27" s="296" t="str">
        <f>+J22</f>
        <v>R$</v>
      </c>
      <c r="K27" s="296"/>
    </row>
    <row r="28" spans="1:81" s="176" customFormat="1" ht="15" customHeight="1">
      <c r="A28" s="177" t="s">
        <v>74</v>
      </c>
      <c r="B28" s="178"/>
      <c r="C28" s="178"/>
      <c r="D28" s="178"/>
      <c r="E28" s="178"/>
      <c r="F28" s="181">
        <v>20.16</v>
      </c>
      <c r="G28" s="178" t="s">
        <v>75</v>
      </c>
      <c r="H28" s="248" t="s">
        <v>102</v>
      </c>
      <c r="I28" s="249"/>
      <c r="J28" s="179"/>
      <c r="K28" s="180"/>
    </row>
    <row r="29" spans="1:81" s="73" customFormat="1" ht="15" customHeight="1">
      <c r="A29" s="199" t="s">
        <v>50</v>
      </c>
      <c r="B29" s="200"/>
      <c r="C29" s="200"/>
      <c r="D29" s="200"/>
      <c r="E29" s="200"/>
      <c r="F29" s="201">
        <v>18.22</v>
      </c>
      <c r="G29" s="182" t="s">
        <v>76</v>
      </c>
      <c r="H29" s="250" t="s">
        <v>103</v>
      </c>
      <c r="I29" s="251"/>
      <c r="J29" s="246"/>
      <c r="K29" s="247"/>
    </row>
    <row r="30" spans="1:81" s="75" customFormat="1" ht="15" customHeight="1">
      <c r="A30" s="97" t="s">
        <v>53</v>
      </c>
      <c r="B30" s="98"/>
      <c r="C30" s="100"/>
      <c r="D30" s="100"/>
      <c r="E30" s="100"/>
      <c r="F30" s="100">
        <f>159607*'Sensitivity Analysis'!D34</f>
        <v>159607</v>
      </c>
      <c r="G30" s="197" t="s">
        <v>25</v>
      </c>
      <c r="H30" s="250" t="s">
        <v>103</v>
      </c>
      <c r="I30" s="299"/>
      <c r="J30" s="259"/>
      <c r="K30" s="260"/>
    </row>
    <row r="31" spans="1:81" s="75" customFormat="1" ht="15" customHeight="1">
      <c r="A31" s="97" t="s">
        <v>51</v>
      </c>
      <c r="B31" s="98"/>
      <c r="D31" s="99"/>
      <c r="F31" s="192">
        <f>125*'Sensitivity Analysis'!D23</f>
        <v>125</v>
      </c>
      <c r="G31" s="202" t="s">
        <v>52</v>
      </c>
      <c r="H31" s="300" t="s">
        <v>89</v>
      </c>
      <c r="I31" s="301"/>
      <c r="J31" s="259"/>
      <c r="K31" s="260"/>
      <c r="L31" s="158"/>
    </row>
    <row r="32" spans="1:81" s="75" customFormat="1" ht="15" customHeight="1">
      <c r="A32" s="127" t="s">
        <v>26</v>
      </c>
      <c r="B32" s="128"/>
      <c r="C32" s="129"/>
      <c r="D32" s="129"/>
      <c r="E32" s="271"/>
      <c r="F32" s="271"/>
      <c r="G32" s="168"/>
      <c r="H32" s="271"/>
      <c r="I32" s="298"/>
      <c r="J32" s="297">
        <f>+F31*F30</f>
        <v>19950875</v>
      </c>
      <c r="K32" s="298"/>
    </row>
    <row r="33" spans="1:81" s="77" customFormat="1" ht="15" customHeight="1">
      <c r="A33" s="269"/>
      <c r="B33" s="269"/>
      <c r="C33" s="269"/>
      <c r="D33" s="269"/>
      <c r="E33" s="269"/>
      <c r="F33" s="269"/>
      <c r="G33" s="269"/>
      <c r="H33" s="269"/>
      <c r="I33" s="269"/>
      <c r="J33" s="270"/>
      <c r="K33" s="270"/>
    </row>
    <row r="34" spans="1:81" s="33" customFormat="1" ht="15" customHeight="1">
      <c r="A34" s="266" t="s">
        <v>27</v>
      </c>
      <c r="B34" s="267"/>
      <c r="C34" s="267"/>
      <c r="D34" s="267"/>
      <c r="E34" s="267"/>
      <c r="F34" s="267"/>
      <c r="G34" s="267"/>
      <c r="H34" s="267"/>
      <c r="I34" s="268"/>
      <c r="J34" s="294">
        <f>AVERAGE(J30:K32)</f>
        <v>19950875</v>
      </c>
      <c r="K34" s="295"/>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row>
    <row r="35" spans="1:81" s="73" customFormat="1" ht="15" customHeight="1">
      <c r="A35" s="92"/>
      <c r="B35" s="92"/>
      <c r="C35" s="92"/>
      <c r="D35" s="92"/>
      <c r="E35" s="101"/>
      <c r="F35" s="101"/>
      <c r="G35" s="101"/>
      <c r="H35" s="101"/>
      <c r="I35" s="101"/>
      <c r="J35" s="130"/>
      <c r="K35" s="130"/>
    </row>
    <row r="36" spans="1:81" s="73" customFormat="1" ht="15" customHeight="1">
      <c r="A36" s="92"/>
      <c r="B36" s="92"/>
      <c r="C36" s="92"/>
      <c r="D36" s="92"/>
      <c r="E36" s="101"/>
      <c r="F36" s="101"/>
      <c r="G36" s="101"/>
      <c r="H36" s="101"/>
      <c r="I36" s="101"/>
      <c r="J36" s="96"/>
      <c r="K36" s="96"/>
    </row>
    <row r="37" spans="1:81" ht="15" customHeight="1">
      <c r="A37" s="256" t="s">
        <v>28</v>
      </c>
      <c r="B37" s="257"/>
      <c r="C37" s="257"/>
      <c r="D37" s="257"/>
      <c r="E37" s="257"/>
      <c r="F37" s="257"/>
      <c r="G37" s="257"/>
      <c r="H37" s="257"/>
      <c r="I37" s="257"/>
      <c r="J37" s="257"/>
      <c r="K37" s="258"/>
    </row>
    <row r="38" spans="1:81" s="33" customFormat="1" ht="15" customHeight="1">
      <c r="A38" s="266" t="s">
        <v>22</v>
      </c>
      <c r="B38" s="267"/>
      <c r="C38" s="267"/>
      <c r="D38" s="267"/>
      <c r="E38" s="267"/>
      <c r="F38" s="267"/>
      <c r="G38" s="267"/>
      <c r="H38" s="267"/>
      <c r="I38" s="268"/>
      <c r="J38" s="296" t="str">
        <f>+J27</f>
        <v>R$</v>
      </c>
      <c r="K38" s="296"/>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row>
    <row r="39" spans="1:81" s="75" customFormat="1" ht="15" customHeight="1">
      <c r="A39" s="94" t="s">
        <v>29</v>
      </c>
      <c r="B39" s="93"/>
      <c r="C39" s="270"/>
      <c r="D39" s="270"/>
      <c r="E39" s="93"/>
      <c r="F39" s="192">
        <f>7*'Sensitivity Analysis'!D12</f>
        <v>7</v>
      </c>
      <c r="G39" s="197" t="s">
        <v>52</v>
      </c>
      <c r="H39" s="274" t="s">
        <v>106</v>
      </c>
      <c r="I39" s="275"/>
      <c r="J39" s="270">
        <f>-F39*F30</f>
        <v>-1117249</v>
      </c>
      <c r="K39" s="260"/>
    </row>
    <row r="40" spans="1:81" s="75" customFormat="1" ht="15" customHeight="1">
      <c r="A40" s="207" t="s">
        <v>70</v>
      </c>
      <c r="B40" s="77"/>
      <c r="C40" s="101"/>
      <c r="D40" s="101"/>
      <c r="E40" s="208"/>
      <c r="F40" s="209">
        <v>3.0000000000000001E-3</v>
      </c>
      <c r="G40" s="204"/>
      <c r="H40" s="281" t="s">
        <v>90</v>
      </c>
      <c r="I40" s="282"/>
      <c r="J40" s="277">
        <f>-C5*F40</f>
        <v>-476955.68836599897</v>
      </c>
      <c r="K40" s="278"/>
    </row>
    <row r="41" spans="1:81" s="176" customFormat="1" ht="15" customHeight="1">
      <c r="A41" s="173" t="s">
        <v>91</v>
      </c>
      <c r="B41" s="182"/>
      <c r="C41" s="183"/>
      <c r="D41" s="183"/>
      <c r="E41" s="184"/>
      <c r="F41" s="184">
        <v>363.6</v>
      </c>
      <c r="G41" s="185" t="s">
        <v>72</v>
      </c>
      <c r="H41" s="281" t="s">
        <v>94</v>
      </c>
      <c r="I41" s="282"/>
      <c r="J41" s="274">
        <f>-F41*F28*1000*F42</f>
        <v>-36650.879999999997</v>
      </c>
      <c r="K41" s="275"/>
    </row>
    <row r="42" spans="1:81" s="176" customFormat="1" ht="15" customHeight="1">
      <c r="A42" s="173" t="s">
        <v>98</v>
      </c>
      <c r="B42" s="182"/>
      <c r="C42" s="183"/>
      <c r="D42" s="183"/>
      <c r="E42" s="184"/>
      <c r="F42" s="219">
        <v>5.0000000000000001E-3</v>
      </c>
      <c r="G42" s="185"/>
      <c r="H42" s="212"/>
      <c r="I42" s="213"/>
      <c r="J42" s="203"/>
      <c r="K42" s="198"/>
    </row>
    <row r="43" spans="1:81" s="176" customFormat="1" ht="15" customHeight="1">
      <c r="A43" s="207" t="s">
        <v>71</v>
      </c>
      <c r="B43" s="206"/>
      <c r="C43" s="210"/>
      <c r="D43" s="210"/>
      <c r="E43" s="211"/>
      <c r="F43" s="211">
        <v>2.72</v>
      </c>
      <c r="G43" s="205" t="s">
        <v>72</v>
      </c>
      <c r="H43" s="279" t="s">
        <v>95</v>
      </c>
      <c r="I43" s="280"/>
      <c r="J43" s="276">
        <f>-F28*F44*F43*F45*1000</f>
        <v>-329011.20000000001</v>
      </c>
      <c r="K43" s="275"/>
    </row>
    <row r="44" spans="1:81" s="176" customFormat="1" ht="15" customHeight="1">
      <c r="A44" s="173" t="s">
        <v>96</v>
      </c>
      <c r="B44" s="182"/>
      <c r="C44" s="183"/>
      <c r="D44" s="183"/>
      <c r="E44" s="184"/>
      <c r="F44" s="195">
        <v>0.5</v>
      </c>
      <c r="G44" s="184"/>
      <c r="H44" s="274"/>
      <c r="I44" s="275"/>
      <c r="J44" s="193"/>
      <c r="K44" s="194"/>
    </row>
    <row r="45" spans="1:81" s="75" customFormat="1" ht="15" customHeight="1">
      <c r="A45" s="173" t="s">
        <v>97</v>
      </c>
      <c r="B45" s="93"/>
      <c r="C45" s="93"/>
      <c r="D45" s="93"/>
      <c r="E45" s="93"/>
      <c r="F45" s="93">
        <v>12</v>
      </c>
      <c r="G45" s="93"/>
      <c r="H45" s="93"/>
      <c r="I45" s="102"/>
      <c r="J45" s="273"/>
      <c r="K45" s="273"/>
    </row>
    <row r="46" spans="1:81" s="75" customFormat="1" ht="15" customHeight="1">
      <c r="A46" s="94"/>
      <c r="B46" s="93"/>
      <c r="C46" s="93"/>
      <c r="D46" s="93"/>
      <c r="E46" s="93"/>
      <c r="F46" s="93"/>
      <c r="G46" s="93"/>
      <c r="H46" s="93"/>
      <c r="I46" s="102"/>
      <c r="J46" s="273"/>
      <c r="K46" s="273"/>
    </row>
    <row r="47" spans="1:81" s="33" customFormat="1" ht="15" customHeight="1">
      <c r="A47" s="266" t="s">
        <v>84</v>
      </c>
      <c r="B47" s="267"/>
      <c r="C47" s="267"/>
      <c r="D47" s="267"/>
      <c r="E47" s="267"/>
      <c r="F47" s="267"/>
      <c r="G47" s="267"/>
      <c r="H47" s="267"/>
      <c r="I47" s="268"/>
      <c r="J47" s="272">
        <f>SUM(J39:K46)</f>
        <v>-1959866.7683659988</v>
      </c>
      <c r="K47" s="272"/>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row>
    <row r="48" spans="1:81" s="73" customFormat="1" ht="15" customHeight="1">
      <c r="A48" s="92"/>
      <c r="B48" s="92"/>
      <c r="C48" s="92"/>
      <c r="D48" s="92"/>
      <c r="E48" s="92"/>
      <c r="F48" s="92"/>
      <c r="G48" s="92"/>
      <c r="H48" s="92"/>
      <c r="I48" s="92"/>
      <c r="J48" s="130"/>
      <c r="K48" s="130"/>
    </row>
    <row r="49" spans="2:11" s="75" customFormat="1" ht="15" customHeight="1">
      <c r="B49" s="218" t="s">
        <v>92</v>
      </c>
      <c r="J49" s="78"/>
      <c r="K49" s="78"/>
    </row>
    <row r="50" spans="2:11" s="75" customFormat="1" ht="15" customHeight="1">
      <c r="B50" s="252" t="s">
        <v>93</v>
      </c>
      <c r="C50" s="252"/>
      <c r="D50" s="252"/>
      <c r="E50" s="252"/>
      <c r="F50" s="252"/>
      <c r="G50" s="252"/>
      <c r="H50" s="252"/>
      <c r="I50" s="252"/>
      <c r="J50" s="78"/>
      <c r="K50" s="78"/>
    </row>
    <row r="51" spans="2:11" s="75" customFormat="1" ht="15" customHeight="1">
      <c r="B51" s="252"/>
      <c r="C51" s="252"/>
      <c r="D51" s="252"/>
      <c r="E51" s="252"/>
      <c r="F51" s="252"/>
      <c r="G51" s="252"/>
      <c r="H51" s="252"/>
      <c r="I51" s="252"/>
      <c r="J51" s="78"/>
      <c r="K51" s="78"/>
    </row>
    <row r="52" spans="2:11" s="75" customFormat="1" ht="15" customHeight="1">
      <c r="B52" s="252"/>
      <c r="C52" s="252"/>
      <c r="D52" s="252"/>
      <c r="E52" s="252"/>
      <c r="F52" s="252"/>
      <c r="G52" s="252"/>
      <c r="H52" s="252"/>
      <c r="I52" s="252"/>
      <c r="J52" s="78"/>
      <c r="K52" s="78"/>
    </row>
    <row r="53" spans="2:11" s="75" customFormat="1" ht="15" customHeight="1">
      <c r="B53" s="252"/>
      <c r="C53" s="252"/>
      <c r="D53" s="252"/>
      <c r="E53" s="252"/>
      <c r="F53" s="252"/>
      <c r="G53" s="252"/>
      <c r="H53" s="252"/>
      <c r="I53" s="252"/>
      <c r="J53" s="78"/>
      <c r="K53" s="78"/>
    </row>
    <row r="54" spans="2:11" s="75" customFormat="1" ht="15" customHeight="1">
      <c r="B54" s="252"/>
      <c r="C54" s="252"/>
      <c r="D54" s="252"/>
      <c r="E54" s="252"/>
      <c r="F54" s="252"/>
      <c r="G54" s="252"/>
      <c r="H54" s="252"/>
      <c r="I54" s="252"/>
      <c r="J54" s="78"/>
      <c r="K54" s="78"/>
    </row>
    <row r="55" spans="2:11" s="75" customFormat="1" ht="15" customHeight="1">
      <c r="B55" s="252"/>
      <c r="C55" s="252"/>
      <c r="D55" s="252"/>
      <c r="E55" s="252"/>
      <c r="F55" s="252"/>
      <c r="G55" s="252"/>
      <c r="H55" s="252"/>
      <c r="I55" s="252"/>
      <c r="J55" s="78"/>
      <c r="K55" s="78"/>
    </row>
    <row r="56" spans="2:11" s="75" customFormat="1" ht="15" customHeight="1">
      <c r="B56" s="252"/>
      <c r="C56" s="252"/>
      <c r="D56" s="252"/>
      <c r="E56" s="252"/>
      <c r="F56" s="252"/>
      <c r="G56" s="252"/>
      <c r="H56" s="252"/>
      <c r="I56" s="252"/>
      <c r="J56" s="78"/>
      <c r="K56" s="78"/>
    </row>
    <row r="57" spans="2:11" s="75" customFormat="1" ht="15" customHeight="1">
      <c r="B57" s="252"/>
      <c r="C57" s="252"/>
      <c r="D57" s="252"/>
      <c r="E57" s="252"/>
      <c r="F57" s="252"/>
      <c r="G57" s="252"/>
      <c r="H57" s="252"/>
      <c r="I57" s="252"/>
      <c r="J57" s="78"/>
      <c r="K57" s="78"/>
    </row>
    <row r="58" spans="2:11" s="75" customFormat="1" ht="15" customHeight="1">
      <c r="B58" s="252"/>
      <c r="C58" s="252"/>
      <c r="D58" s="252"/>
      <c r="E58" s="252"/>
      <c r="F58" s="252"/>
      <c r="G58" s="252"/>
      <c r="H58" s="252"/>
      <c r="I58" s="252"/>
      <c r="J58" s="78"/>
      <c r="K58" s="78"/>
    </row>
    <row r="59" spans="2:11" s="75" customFormat="1" ht="15" customHeight="1">
      <c r="J59" s="78"/>
      <c r="K59" s="78"/>
    </row>
    <row r="60" spans="2:11" s="75" customFormat="1" ht="15" customHeight="1">
      <c r="J60" s="78"/>
      <c r="K60" s="78"/>
    </row>
    <row r="61" spans="2:11" s="75" customFormat="1" ht="15" customHeight="1">
      <c r="J61" s="78"/>
      <c r="K61" s="78"/>
    </row>
    <row r="62" spans="2:11" s="75" customFormat="1" ht="15" customHeight="1">
      <c r="J62" s="78"/>
      <c r="K62" s="78"/>
    </row>
    <row r="63" spans="2:11" s="75" customFormat="1" ht="15" customHeight="1">
      <c r="J63" s="78"/>
      <c r="K63" s="78"/>
    </row>
    <row r="64" spans="2:11" s="75" customFormat="1" ht="15" customHeight="1">
      <c r="J64" s="78"/>
      <c r="K64" s="78"/>
    </row>
    <row r="65" spans="10:11" s="75" customFormat="1">
      <c r="J65" s="78"/>
      <c r="K65" s="78"/>
    </row>
    <row r="66" spans="10:11" s="75" customFormat="1">
      <c r="J66" s="78"/>
      <c r="K66" s="78"/>
    </row>
    <row r="67" spans="10:11" s="75" customFormat="1">
      <c r="J67" s="78"/>
      <c r="K67" s="78"/>
    </row>
    <row r="68" spans="10:11" s="75" customFormat="1">
      <c r="J68" s="78"/>
      <c r="K68" s="78"/>
    </row>
    <row r="69" spans="10:11" s="75" customFormat="1">
      <c r="J69" s="78"/>
      <c r="K69" s="78"/>
    </row>
    <row r="70" spans="10:11" s="75" customFormat="1">
      <c r="J70" s="78"/>
      <c r="K70" s="78"/>
    </row>
    <row r="71" spans="10:11" s="75" customFormat="1">
      <c r="J71" s="78"/>
      <c r="K71" s="78"/>
    </row>
    <row r="72" spans="10:11" s="75" customFormat="1">
      <c r="J72" s="78"/>
      <c r="K72" s="78"/>
    </row>
    <row r="73" spans="10:11" s="75" customFormat="1">
      <c r="J73" s="78"/>
      <c r="K73" s="78"/>
    </row>
    <row r="74" spans="10:11" s="75" customFormat="1">
      <c r="J74" s="78"/>
      <c r="K74" s="78"/>
    </row>
    <row r="75" spans="10:11" s="75" customFormat="1">
      <c r="J75" s="78"/>
      <c r="K75" s="78"/>
    </row>
    <row r="76" spans="10:11" s="75" customFormat="1">
      <c r="J76" s="78"/>
      <c r="K76" s="78"/>
    </row>
    <row r="77" spans="10:11" s="75" customFormat="1">
      <c r="J77" s="78"/>
      <c r="K77" s="78"/>
    </row>
    <row r="78" spans="10:11" s="75" customFormat="1">
      <c r="J78" s="78"/>
      <c r="K78" s="78"/>
    </row>
    <row r="79" spans="10:11" s="75" customFormat="1">
      <c r="J79" s="78"/>
      <c r="K79" s="78"/>
    </row>
    <row r="80" spans="10:11" s="75" customFormat="1">
      <c r="J80" s="78"/>
      <c r="K80" s="78"/>
    </row>
    <row r="81" spans="10:11" s="75" customFormat="1">
      <c r="J81" s="78"/>
      <c r="K81" s="78"/>
    </row>
    <row r="82" spans="10:11" s="75" customFormat="1">
      <c r="J82" s="78"/>
      <c r="K82" s="78"/>
    </row>
    <row r="83" spans="10:11" s="75" customFormat="1">
      <c r="J83" s="78"/>
      <c r="K83" s="78"/>
    </row>
    <row r="84" spans="10:11" s="75" customFormat="1">
      <c r="J84" s="78"/>
      <c r="K84" s="78"/>
    </row>
    <row r="85" spans="10:11" s="75" customFormat="1">
      <c r="J85" s="78"/>
      <c r="K85" s="78"/>
    </row>
    <row r="86" spans="10:11" s="75" customFormat="1">
      <c r="J86" s="78"/>
      <c r="K86" s="78"/>
    </row>
    <row r="87" spans="10:11" s="75" customFormat="1">
      <c r="J87" s="78"/>
      <c r="K87" s="78"/>
    </row>
    <row r="88" spans="10:11" s="75" customFormat="1">
      <c r="J88" s="78"/>
      <c r="K88" s="78"/>
    </row>
    <row r="89" spans="10:11" s="75" customFormat="1">
      <c r="J89" s="78"/>
      <c r="K89" s="78"/>
    </row>
    <row r="90" spans="10:11" s="75" customFormat="1">
      <c r="J90" s="78"/>
      <c r="K90" s="78"/>
    </row>
    <row r="91" spans="10:11" s="75" customFormat="1">
      <c r="J91" s="78"/>
      <c r="K91" s="78"/>
    </row>
    <row r="92" spans="10:11" s="75" customFormat="1">
      <c r="J92" s="78"/>
      <c r="K92" s="78"/>
    </row>
    <row r="93" spans="10:11" s="75" customFormat="1">
      <c r="J93" s="78"/>
      <c r="K93" s="78"/>
    </row>
    <row r="94" spans="10:11" s="75" customFormat="1">
      <c r="J94" s="78"/>
      <c r="K94" s="78"/>
    </row>
    <row r="95" spans="10:11" s="75" customFormat="1">
      <c r="J95" s="78"/>
      <c r="K95" s="78"/>
    </row>
    <row r="96" spans="10:11" s="75" customFormat="1">
      <c r="J96" s="78"/>
      <c r="K96" s="78"/>
    </row>
    <row r="97" spans="10:11" s="75" customFormat="1">
      <c r="J97" s="78"/>
      <c r="K97" s="78"/>
    </row>
    <row r="98" spans="10:11" s="75" customFormat="1">
      <c r="J98" s="78"/>
      <c r="K98" s="78"/>
    </row>
    <row r="99" spans="10:11" s="75" customFormat="1">
      <c r="J99" s="78"/>
      <c r="K99" s="78"/>
    </row>
    <row r="100" spans="10:11" s="75" customFormat="1">
      <c r="J100" s="78"/>
      <c r="K100" s="78"/>
    </row>
    <row r="101" spans="10:11" s="75" customFormat="1">
      <c r="J101" s="78"/>
      <c r="K101" s="78"/>
    </row>
    <row r="102" spans="10:11" s="75" customFormat="1">
      <c r="J102" s="78"/>
      <c r="K102" s="78"/>
    </row>
    <row r="103" spans="10:11" s="75" customFormat="1">
      <c r="J103" s="78"/>
      <c r="K103" s="78"/>
    </row>
    <row r="104" spans="10:11" s="75" customFormat="1">
      <c r="J104" s="78"/>
      <c r="K104" s="78"/>
    </row>
  </sheetData>
  <sheetProtection selectLockedCells="1"/>
  <mergeCells count="53">
    <mergeCell ref="A38:I38"/>
    <mergeCell ref="A1:K1"/>
    <mergeCell ref="A2:B2"/>
    <mergeCell ref="A3:C3"/>
    <mergeCell ref="A5:B5"/>
    <mergeCell ref="A6:B6"/>
    <mergeCell ref="D2:E2"/>
    <mergeCell ref="J34:K34"/>
    <mergeCell ref="J38:K38"/>
    <mergeCell ref="A27:I27"/>
    <mergeCell ref="J27:K27"/>
    <mergeCell ref="J32:K32"/>
    <mergeCell ref="H30:I30"/>
    <mergeCell ref="H31:I31"/>
    <mergeCell ref="A34:I34"/>
    <mergeCell ref="H32:I32"/>
    <mergeCell ref="E32:F32"/>
    <mergeCell ref="A37:K37"/>
    <mergeCell ref="A47:I47"/>
    <mergeCell ref="J39:K39"/>
    <mergeCell ref="J47:K47"/>
    <mergeCell ref="J46:K46"/>
    <mergeCell ref="J45:K45"/>
    <mergeCell ref="H39:I39"/>
    <mergeCell ref="C39:D39"/>
    <mergeCell ref="J43:K43"/>
    <mergeCell ref="J41:K41"/>
    <mergeCell ref="J40:K40"/>
    <mergeCell ref="H44:I44"/>
    <mergeCell ref="H43:I43"/>
    <mergeCell ref="H41:I41"/>
    <mergeCell ref="H40:I40"/>
    <mergeCell ref="B50:I58"/>
    <mergeCell ref="L4:M4"/>
    <mergeCell ref="L7:M7"/>
    <mergeCell ref="A21:K21"/>
    <mergeCell ref="J30:K30"/>
    <mergeCell ref="J22:K22"/>
    <mergeCell ref="J23:K23"/>
    <mergeCell ref="I11:J11"/>
    <mergeCell ref="E17:F17"/>
    <mergeCell ref="A23:I23"/>
    <mergeCell ref="A26:K26"/>
    <mergeCell ref="A22:I22"/>
    <mergeCell ref="A18:C18"/>
    <mergeCell ref="A33:I33"/>
    <mergeCell ref="J33:K33"/>
    <mergeCell ref="J31:K31"/>
    <mergeCell ref="A19:C19"/>
    <mergeCell ref="J29:K29"/>
    <mergeCell ref="H28:I28"/>
    <mergeCell ref="H29:I29"/>
    <mergeCell ref="L21:L25"/>
  </mergeCells>
  <phoneticPr fontId="0" type="noConversion"/>
  <hyperlinks>
    <hyperlink ref="H40:I40" r:id="rId1" display="Source: MME (July, 2003)"/>
    <hyperlink ref="B49" r:id="rId2"/>
    <hyperlink ref="H41:I41" r:id="rId3" display="Source:"/>
    <hyperlink ref="H43:I43" r:id="rId4" display="Source:"/>
  </hyperlinks>
  <printOptions horizontalCentered="1"/>
  <pageMargins left="0.59055118110236227" right="0.59055118110236227" top="0.78740157480314965" bottom="0.78740157480314965" header="0.51181102362204722" footer="0.51181102362204722"/>
  <pageSetup paperSize="9" orientation="portrait" r:id="rId5"/>
  <headerFooter alignWithMargins="0"/>
</worksheet>
</file>

<file path=xl/worksheets/sheet2.xml><?xml version="1.0" encoding="utf-8"?>
<worksheet xmlns="http://schemas.openxmlformats.org/spreadsheetml/2006/main" xmlns:r="http://schemas.openxmlformats.org/officeDocument/2006/relationships">
  <sheetPr codeName="Plan2">
    <pageSetUpPr fitToPage="1"/>
  </sheetPr>
  <dimension ref="A1:Y48"/>
  <sheetViews>
    <sheetView showGridLines="0" topLeftCell="A33" zoomScale="80" zoomScaleNormal="80" workbookViewId="0">
      <pane xSplit="4" topLeftCell="E1" activePane="topRight" state="frozen"/>
      <selection pane="topRight" activeCell="F39" sqref="F39:H48"/>
    </sheetView>
  </sheetViews>
  <sheetFormatPr defaultColWidth="9.140625" defaultRowHeight="20.100000000000001" customHeight="1"/>
  <cols>
    <col min="1" max="1" width="13.7109375" style="3" bestFit="1" customWidth="1"/>
    <col min="2" max="2" width="8.5703125" style="3" customWidth="1"/>
    <col min="3" max="3" width="6.5703125" style="3" customWidth="1"/>
    <col min="4" max="4" width="6.42578125" style="3" customWidth="1"/>
    <col min="5" max="5" width="12.7109375" style="5" bestFit="1" customWidth="1"/>
    <col min="6" max="6" width="20.42578125" style="5" customWidth="1"/>
    <col min="7" max="7" width="14.42578125" style="5" bestFit="1" customWidth="1"/>
    <col min="8" max="14" width="15" style="5" bestFit="1" customWidth="1"/>
    <col min="15" max="25" width="15" style="3" bestFit="1" customWidth="1"/>
    <col min="26" max="16384" width="9.140625" style="3"/>
  </cols>
  <sheetData>
    <row r="1" spans="1:25" s="107" customFormat="1" ht="20.100000000000001" customHeight="1">
      <c r="A1" s="52" t="s">
        <v>81</v>
      </c>
      <c r="B1" s="103"/>
      <c r="C1" s="103"/>
      <c r="D1" s="103"/>
      <c r="E1" s="103"/>
      <c r="F1" s="103"/>
      <c r="G1" s="104"/>
      <c r="H1" s="105">
        <v>20</v>
      </c>
      <c r="I1" s="105" t="s">
        <v>19</v>
      </c>
      <c r="J1" s="105">
        <v>9</v>
      </c>
      <c r="K1" s="105" t="s">
        <v>105</v>
      </c>
      <c r="L1" s="105"/>
      <c r="M1" s="105"/>
      <c r="N1" s="106"/>
      <c r="O1" s="106"/>
      <c r="P1" s="106"/>
      <c r="Q1" s="106"/>
      <c r="R1" s="106"/>
      <c r="S1" s="106"/>
      <c r="T1" s="106"/>
      <c r="U1" s="106"/>
      <c r="V1" s="106"/>
      <c r="W1" s="106"/>
      <c r="X1" s="106"/>
      <c r="Y1" s="106"/>
    </row>
    <row r="2" spans="1:25" ht="20.100000000000001" customHeight="1">
      <c r="A2" s="6"/>
      <c r="B2" s="6"/>
      <c r="C2" s="6"/>
      <c r="D2" s="6"/>
      <c r="E2" s="6"/>
      <c r="F2" s="6"/>
      <c r="G2" s="7"/>
      <c r="H2" s="8"/>
      <c r="I2" s="7"/>
      <c r="J2" s="7"/>
      <c r="K2" s="7"/>
      <c r="L2" s="7"/>
      <c r="M2" s="7"/>
      <c r="N2" s="7"/>
      <c r="O2" s="7"/>
      <c r="P2" s="7"/>
      <c r="Q2" s="7"/>
      <c r="R2" s="7"/>
      <c r="S2" s="7"/>
      <c r="T2" s="7"/>
      <c r="U2" s="7"/>
      <c r="V2" s="7"/>
      <c r="W2" s="7"/>
      <c r="X2" s="7"/>
      <c r="Y2" s="7"/>
    </row>
    <row r="3" spans="1:25" ht="20.100000000000001" customHeight="1">
      <c r="A3" s="52" t="s">
        <v>21</v>
      </c>
      <c r="B3" s="26"/>
      <c r="C3" s="27"/>
      <c r="D3" s="6"/>
      <c r="E3" s="6"/>
      <c r="F3" s="6"/>
      <c r="G3" s="7"/>
      <c r="H3" s="8"/>
      <c r="I3" s="7"/>
      <c r="J3" s="7"/>
      <c r="K3" s="7"/>
      <c r="L3" s="7"/>
      <c r="M3" s="7"/>
      <c r="N3" s="7"/>
      <c r="O3" s="7"/>
      <c r="P3" s="7"/>
      <c r="Q3" s="7"/>
      <c r="R3" s="7"/>
      <c r="S3" s="7"/>
      <c r="T3" s="7"/>
      <c r="U3" s="7"/>
      <c r="V3" s="7"/>
      <c r="W3" s="7"/>
      <c r="X3" s="7"/>
      <c r="Y3" s="7"/>
    </row>
    <row r="4" spans="1:25" s="137" customFormat="1" ht="20.100000000000001" customHeight="1">
      <c r="A4" s="1"/>
      <c r="B4" s="1"/>
      <c r="C4" s="1"/>
      <c r="D4" s="1"/>
      <c r="E4" s="138"/>
      <c r="F4" s="138"/>
      <c r="G4" s="138"/>
      <c r="H4" s="138"/>
      <c r="I4" s="138"/>
      <c r="J4" s="138"/>
      <c r="K4" s="138"/>
      <c r="L4" s="138"/>
      <c r="M4" s="138"/>
      <c r="N4" s="138"/>
      <c r="O4" s="138"/>
      <c r="P4" s="138"/>
      <c r="Q4" s="138"/>
      <c r="R4" s="138"/>
      <c r="S4" s="138"/>
      <c r="T4" s="138"/>
      <c r="U4" s="138"/>
      <c r="V4" s="138"/>
      <c r="W4" s="138"/>
      <c r="X4" s="138"/>
      <c r="Y4" s="138"/>
    </row>
    <row r="5" spans="1:25" s="1" customFormat="1" ht="20.100000000000001" customHeight="1">
      <c r="A5" s="327" t="s">
        <v>22</v>
      </c>
      <c r="B5" s="327"/>
      <c r="C5" s="327"/>
      <c r="D5" s="327"/>
      <c r="E5" s="40">
        <v>1</v>
      </c>
      <c r="F5" s="40">
        <v>2</v>
      </c>
      <c r="G5" s="40">
        <v>3</v>
      </c>
      <c r="H5" s="40">
        <v>4</v>
      </c>
      <c r="I5" s="40">
        <v>5</v>
      </c>
      <c r="J5" s="40">
        <v>6</v>
      </c>
      <c r="K5" s="40">
        <v>7</v>
      </c>
      <c r="L5" s="40">
        <v>8</v>
      </c>
      <c r="M5" s="40">
        <v>9</v>
      </c>
      <c r="N5" s="40">
        <v>10</v>
      </c>
      <c r="O5" s="40">
        <v>11</v>
      </c>
      <c r="P5" s="40">
        <v>12</v>
      </c>
      <c r="Q5" s="40">
        <v>13</v>
      </c>
      <c r="R5" s="40">
        <v>14</v>
      </c>
      <c r="S5" s="40">
        <v>15</v>
      </c>
      <c r="T5" s="40">
        <v>16</v>
      </c>
      <c r="U5" s="40">
        <v>17</v>
      </c>
      <c r="V5" s="40">
        <v>18</v>
      </c>
      <c r="W5" s="40">
        <v>19</v>
      </c>
      <c r="X5" s="40">
        <v>20</v>
      </c>
      <c r="Y5" s="40">
        <v>21</v>
      </c>
    </row>
    <row r="6" spans="1:25" s="133" customFormat="1" ht="20.100000000000001" hidden="1" customHeight="1">
      <c r="A6" s="131"/>
      <c r="B6" s="131"/>
      <c r="C6" s="131"/>
      <c r="D6" s="131"/>
      <c r="E6" s="132"/>
      <c r="F6" s="132"/>
      <c r="G6" s="132"/>
      <c r="H6" s="132"/>
      <c r="I6" s="132"/>
      <c r="J6" s="132"/>
      <c r="K6" s="132"/>
      <c r="L6" s="132"/>
      <c r="M6" s="132"/>
      <c r="N6" s="132"/>
      <c r="O6" s="132"/>
      <c r="P6" s="132"/>
      <c r="Q6" s="132"/>
      <c r="R6" s="132"/>
      <c r="S6" s="132"/>
      <c r="T6" s="132"/>
      <c r="U6" s="132"/>
      <c r="V6" s="132"/>
      <c r="W6" s="132"/>
      <c r="X6" s="132"/>
      <c r="Y6" s="132"/>
    </row>
    <row r="7" spans="1:25" s="133" customFormat="1" ht="20.100000000000001" hidden="1" customHeight="1">
      <c r="A7" s="131"/>
      <c r="B7" s="131"/>
      <c r="C7" s="131"/>
      <c r="D7" s="131"/>
      <c r="E7" s="132"/>
      <c r="F7" s="132"/>
      <c r="G7" s="132"/>
      <c r="H7" s="132"/>
      <c r="I7" s="132"/>
      <c r="J7" s="132"/>
      <c r="K7" s="132"/>
      <c r="L7" s="132"/>
      <c r="M7" s="132"/>
      <c r="N7" s="132"/>
      <c r="O7" s="132"/>
      <c r="P7" s="132"/>
      <c r="Q7" s="132"/>
      <c r="R7" s="132"/>
      <c r="S7" s="132"/>
      <c r="T7" s="132"/>
      <c r="U7" s="132"/>
      <c r="V7" s="132"/>
      <c r="W7" s="132"/>
      <c r="X7" s="132"/>
      <c r="Y7" s="132"/>
    </row>
    <row r="8" spans="1:25" s="133" customFormat="1" ht="20.100000000000001" hidden="1" customHeight="1">
      <c r="A8" s="134" t="s">
        <v>54</v>
      </c>
      <c r="B8" s="134"/>
      <c r="C8" s="134">
        <v>1</v>
      </c>
      <c r="D8" s="134" t="s">
        <v>55</v>
      </c>
      <c r="E8" s="132"/>
      <c r="F8" s="132"/>
      <c r="G8" s="132"/>
      <c r="H8" s="132"/>
      <c r="I8" s="132"/>
      <c r="J8" s="132"/>
      <c r="K8" s="132"/>
      <c r="L8" s="132"/>
      <c r="M8" s="132"/>
      <c r="N8" s="132"/>
      <c r="O8" s="132"/>
      <c r="P8" s="132"/>
      <c r="Q8" s="132"/>
      <c r="R8" s="132"/>
      <c r="S8" s="132"/>
      <c r="T8" s="132"/>
      <c r="U8" s="132"/>
      <c r="V8" s="132"/>
      <c r="W8" s="132"/>
      <c r="X8" s="132"/>
      <c r="Y8" s="132"/>
    </row>
    <row r="9" spans="1:25" s="133" customFormat="1" ht="20.100000000000001" hidden="1" customHeight="1">
      <c r="A9" s="134" t="s">
        <v>56</v>
      </c>
      <c r="B9" s="134"/>
      <c r="C9" s="329">
        <v>0.25</v>
      </c>
      <c r="D9" s="329"/>
      <c r="E9" s="132"/>
      <c r="F9" s="132"/>
      <c r="G9" s="132"/>
      <c r="H9" s="132"/>
      <c r="I9" s="132"/>
      <c r="J9" s="132"/>
      <c r="K9" s="132"/>
      <c r="L9" s="132"/>
      <c r="M9" s="132"/>
      <c r="N9" s="132"/>
      <c r="O9" s="132"/>
      <c r="P9" s="132"/>
      <c r="Q9" s="132"/>
      <c r="R9" s="132"/>
      <c r="S9" s="132"/>
      <c r="T9" s="132"/>
      <c r="U9" s="132"/>
      <c r="V9" s="132"/>
      <c r="W9" s="132"/>
      <c r="X9" s="132"/>
      <c r="Y9" s="132"/>
    </row>
    <row r="10" spans="1:25" s="133" customFormat="1" ht="20.100000000000001" hidden="1" customHeight="1">
      <c r="A10" s="330" t="s">
        <v>57</v>
      </c>
      <c r="B10" s="330"/>
      <c r="C10" s="135">
        <v>12</v>
      </c>
      <c r="D10" s="136" t="s">
        <v>55</v>
      </c>
      <c r="E10" s="132"/>
      <c r="F10" s="132"/>
      <c r="G10" s="132"/>
      <c r="H10" s="132"/>
      <c r="I10" s="132"/>
      <c r="J10" s="132"/>
      <c r="K10" s="132"/>
      <c r="L10" s="132"/>
      <c r="M10" s="132"/>
      <c r="N10" s="132"/>
      <c r="O10" s="132"/>
      <c r="P10" s="132"/>
      <c r="Q10" s="132"/>
      <c r="R10" s="132"/>
      <c r="S10" s="132"/>
      <c r="T10" s="132"/>
      <c r="U10" s="132"/>
      <c r="V10" s="132"/>
      <c r="W10" s="132"/>
      <c r="X10" s="132"/>
      <c r="Y10" s="132"/>
    </row>
    <row r="11" spans="1:25" s="133" customFormat="1" ht="20.100000000000001" hidden="1" customHeight="1">
      <c r="A11" s="136" t="s">
        <v>56</v>
      </c>
      <c r="B11" s="131"/>
      <c r="C11" s="329">
        <v>1</v>
      </c>
      <c r="D11" s="329"/>
      <c r="E11" s="132"/>
      <c r="F11" s="132"/>
      <c r="G11" s="132"/>
      <c r="H11" s="132"/>
      <c r="I11" s="132"/>
      <c r="J11" s="132"/>
      <c r="K11" s="132"/>
      <c r="L11" s="132"/>
      <c r="M11" s="132"/>
      <c r="N11" s="132"/>
      <c r="O11" s="132"/>
      <c r="P11" s="132"/>
      <c r="Q11" s="132"/>
      <c r="R11" s="132"/>
      <c r="S11" s="132"/>
      <c r="T11" s="132"/>
      <c r="U11" s="132"/>
      <c r="V11" s="132"/>
      <c r="W11" s="132"/>
      <c r="X11" s="132"/>
      <c r="Y11" s="132"/>
    </row>
    <row r="12" spans="1:25" ht="20.100000000000001" customHeight="1">
      <c r="O12" s="5"/>
      <c r="P12" s="5"/>
      <c r="Q12" s="5"/>
      <c r="R12" s="5"/>
      <c r="S12" s="5"/>
      <c r="T12" s="5"/>
      <c r="U12" s="5"/>
      <c r="V12" s="5"/>
      <c r="W12" s="5"/>
      <c r="X12" s="5"/>
      <c r="Y12" s="5"/>
    </row>
    <row r="13" spans="1:25" s="1" customFormat="1" ht="20.100000000000001" customHeight="1">
      <c r="A13" s="309" t="s">
        <v>31</v>
      </c>
      <c r="B13" s="309"/>
      <c r="C13" s="309"/>
      <c r="D13" s="309"/>
      <c r="E13" s="42"/>
      <c r="F13" s="42"/>
      <c r="G13" s="42">
        <f>G14*G15</f>
        <v>415643.74999999994</v>
      </c>
      <c r="H13" s="42">
        <f t="shared" ref="H13:Y13" si="0">H14*H15</f>
        <v>19950875</v>
      </c>
      <c r="I13" s="42">
        <f t="shared" si="0"/>
        <v>19950875</v>
      </c>
      <c r="J13" s="42">
        <f t="shared" si="0"/>
        <v>19950875</v>
      </c>
      <c r="K13" s="42">
        <f t="shared" si="0"/>
        <v>19950875</v>
      </c>
      <c r="L13" s="42">
        <f t="shared" si="0"/>
        <v>19950875</v>
      </c>
      <c r="M13" s="42">
        <f t="shared" si="0"/>
        <v>19950875</v>
      </c>
      <c r="N13" s="42">
        <f t="shared" si="0"/>
        <v>19950875</v>
      </c>
      <c r="O13" s="42">
        <f t="shared" si="0"/>
        <v>19950875</v>
      </c>
      <c r="P13" s="42">
        <f t="shared" si="0"/>
        <v>19950875</v>
      </c>
      <c r="Q13" s="42">
        <f t="shared" si="0"/>
        <v>19950875</v>
      </c>
      <c r="R13" s="42">
        <f t="shared" si="0"/>
        <v>19950875</v>
      </c>
      <c r="S13" s="42">
        <f t="shared" si="0"/>
        <v>19950875</v>
      </c>
      <c r="T13" s="42">
        <f t="shared" si="0"/>
        <v>19950875</v>
      </c>
      <c r="U13" s="42">
        <f t="shared" si="0"/>
        <v>19950875</v>
      </c>
      <c r="V13" s="42">
        <f t="shared" si="0"/>
        <v>19950875</v>
      </c>
      <c r="W13" s="42">
        <f t="shared" si="0"/>
        <v>19950875</v>
      </c>
      <c r="X13" s="42">
        <f t="shared" si="0"/>
        <v>19950875</v>
      </c>
      <c r="Y13" s="42">
        <f t="shared" si="0"/>
        <v>11222367.1875</v>
      </c>
    </row>
    <row r="14" spans="1:25" ht="20.100000000000001" customHeight="1">
      <c r="A14" s="15" t="s">
        <v>58</v>
      </c>
      <c r="B14" s="119"/>
      <c r="C14" s="119"/>
      <c r="D14" s="120"/>
      <c r="E14" s="139"/>
      <c r="F14" s="139"/>
      <c r="G14" s="139">
        <f>'Control Pannel'!$F$31</f>
        <v>125</v>
      </c>
      <c r="H14" s="139">
        <f>'Control Pannel'!$F$31</f>
        <v>125</v>
      </c>
      <c r="I14" s="139">
        <f>'Control Pannel'!$F$31</f>
        <v>125</v>
      </c>
      <c r="J14" s="139">
        <f>'Control Pannel'!$F$31</f>
        <v>125</v>
      </c>
      <c r="K14" s="139">
        <f>'Control Pannel'!$F$31</f>
        <v>125</v>
      </c>
      <c r="L14" s="139">
        <f>'Control Pannel'!$F$31</f>
        <v>125</v>
      </c>
      <c r="M14" s="139">
        <f>'Control Pannel'!$F$31</f>
        <v>125</v>
      </c>
      <c r="N14" s="139">
        <f>'Control Pannel'!$F$31</f>
        <v>125</v>
      </c>
      <c r="O14" s="139">
        <f>'Control Pannel'!$F$31</f>
        <v>125</v>
      </c>
      <c r="P14" s="139">
        <f>'Control Pannel'!$F$31</f>
        <v>125</v>
      </c>
      <c r="Q14" s="139">
        <f>'Control Pannel'!$F$31</f>
        <v>125</v>
      </c>
      <c r="R14" s="139">
        <f>'Control Pannel'!$F$31</f>
        <v>125</v>
      </c>
      <c r="S14" s="139">
        <f>'Control Pannel'!$F$31</f>
        <v>125</v>
      </c>
      <c r="T14" s="139">
        <f>'Control Pannel'!$F$31</f>
        <v>125</v>
      </c>
      <c r="U14" s="139">
        <f>'Control Pannel'!$F$31</f>
        <v>125</v>
      </c>
      <c r="V14" s="139">
        <f>'Control Pannel'!$F$31</f>
        <v>125</v>
      </c>
      <c r="W14" s="139">
        <f>'Control Pannel'!$F$31</f>
        <v>125</v>
      </c>
      <c r="X14" s="139">
        <f>'Control Pannel'!$F$31</f>
        <v>125</v>
      </c>
      <c r="Y14" s="139">
        <f>('Control Pannel'!$F$31/12)*J1</f>
        <v>93.75</v>
      </c>
    </row>
    <row r="15" spans="1:25" ht="20.100000000000001" customHeight="1">
      <c r="A15" s="15" t="s">
        <v>59</v>
      </c>
      <c r="B15" s="119"/>
      <c r="C15" s="119"/>
      <c r="D15" s="120"/>
      <c r="E15" s="17"/>
      <c r="F15" s="17"/>
      <c r="G15" s="17">
        <f>8760*'Control Pannel'!F29*(C8/12)*C9</f>
        <v>3325.1499999999996</v>
      </c>
      <c r="H15" s="17">
        <f>'Control Pannel'!$F$30</f>
        <v>159607</v>
      </c>
      <c r="I15" s="17">
        <f>'Control Pannel'!$F$30</f>
        <v>159607</v>
      </c>
      <c r="J15" s="17">
        <f>'Control Pannel'!$F$30</f>
        <v>159607</v>
      </c>
      <c r="K15" s="17">
        <f>'Control Pannel'!$F$30</f>
        <v>159607</v>
      </c>
      <c r="L15" s="17">
        <f>'Control Pannel'!$F$30</f>
        <v>159607</v>
      </c>
      <c r="M15" s="17">
        <f>'Control Pannel'!$F$30</f>
        <v>159607</v>
      </c>
      <c r="N15" s="17">
        <f>'Control Pannel'!$F$30</f>
        <v>159607</v>
      </c>
      <c r="O15" s="17">
        <f>'Control Pannel'!$F$30</f>
        <v>159607</v>
      </c>
      <c r="P15" s="17">
        <f>'Control Pannel'!$F$30</f>
        <v>159607</v>
      </c>
      <c r="Q15" s="17">
        <f>'Control Pannel'!$F$30</f>
        <v>159607</v>
      </c>
      <c r="R15" s="17">
        <f>'Control Pannel'!$F$30</f>
        <v>159607</v>
      </c>
      <c r="S15" s="17">
        <f>'Control Pannel'!$F$30</f>
        <v>159607</v>
      </c>
      <c r="T15" s="17">
        <f>'Control Pannel'!$F$30</f>
        <v>159607</v>
      </c>
      <c r="U15" s="17">
        <f>'Control Pannel'!$F$30</f>
        <v>159607</v>
      </c>
      <c r="V15" s="17">
        <f>'Control Pannel'!$F$30</f>
        <v>159607</v>
      </c>
      <c r="W15" s="17">
        <f>'Control Pannel'!$F$30</f>
        <v>159607</v>
      </c>
      <c r="X15" s="17">
        <f>'Control Pannel'!$F$30</f>
        <v>159607</v>
      </c>
      <c r="Y15" s="17">
        <f>('Control Pannel'!$F$30/12)*J1</f>
        <v>119705.25</v>
      </c>
    </row>
    <row r="16" spans="1:25" ht="20.100000000000001" customHeight="1">
      <c r="D16" s="22"/>
      <c r="E16" s="43"/>
      <c r="F16" s="43"/>
      <c r="G16" s="43"/>
      <c r="H16" s="43"/>
      <c r="I16" s="43"/>
      <c r="J16" s="43"/>
      <c r="K16" s="43"/>
      <c r="L16" s="43"/>
      <c r="M16" s="43"/>
      <c r="N16" s="43"/>
      <c r="O16" s="43"/>
      <c r="P16" s="43"/>
      <c r="Q16" s="43"/>
      <c r="R16" s="43"/>
      <c r="S16" s="43"/>
      <c r="T16" s="43"/>
      <c r="U16" s="43"/>
      <c r="V16" s="43"/>
      <c r="W16" s="43"/>
      <c r="X16" s="43"/>
      <c r="Y16" s="43"/>
    </row>
    <row r="17" spans="1:25" s="1" customFormat="1" ht="20.100000000000001" customHeight="1">
      <c r="A17" s="328" t="s">
        <v>30</v>
      </c>
      <c r="B17" s="328"/>
      <c r="C17" s="328"/>
      <c r="D17" s="328"/>
      <c r="E17" s="42">
        <f>SUM(E18:E18)</f>
        <v>0</v>
      </c>
      <c r="F17" s="42">
        <f>SUM(F18:F18)</f>
        <v>0</v>
      </c>
      <c r="G17" s="42">
        <f>SUM(G18)</f>
        <v>-15170.996874999997</v>
      </c>
      <c r="H17" s="42">
        <f t="shared" ref="H17:Y17" si="1">SUM(H18)</f>
        <v>-728206.9375</v>
      </c>
      <c r="I17" s="42">
        <f t="shared" si="1"/>
        <v>-728206.9375</v>
      </c>
      <c r="J17" s="42">
        <f t="shared" si="1"/>
        <v>-728206.9375</v>
      </c>
      <c r="K17" s="42">
        <f t="shared" si="1"/>
        <v>-728206.9375</v>
      </c>
      <c r="L17" s="42">
        <f t="shared" si="1"/>
        <v>-728206.9375</v>
      </c>
      <c r="M17" s="42">
        <f t="shared" si="1"/>
        <v>-728206.9375</v>
      </c>
      <c r="N17" s="42">
        <f t="shared" si="1"/>
        <v>-728206.9375</v>
      </c>
      <c r="O17" s="42">
        <f t="shared" si="1"/>
        <v>-728206.9375</v>
      </c>
      <c r="P17" s="42">
        <f t="shared" si="1"/>
        <v>-728206.9375</v>
      </c>
      <c r="Q17" s="42">
        <f t="shared" si="1"/>
        <v>-728206.9375</v>
      </c>
      <c r="R17" s="42">
        <f t="shared" si="1"/>
        <v>-728206.9375</v>
      </c>
      <c r="S17" s="42">
        <f t="shared" si="1"/>
        <v>-728206.9375</v>
      </c>
      <c r="T17" s="42">
        <f t="shared" si="1"/>
        <v>-728206.9375</v>
      </c>
      <c r="U17" s="42">
        <f t="shared" si="1"/>
        <v>-728206.9375</v>
      </c>
      <c r="V17" s="42">
        <f t="shared" si="1"/>
        <v>-728206.9375</v>
      </c>
      <c r="W17" s="42">
        <f t="shared" si="1"/>
        <v>-728206.9375</v>
      </c>
      <c r="X17" s="42">
        <f t="shared" si="1"/>
        <v>-728206.9375</v>
      </c>
      <c r="Y17" s="42">
        <f t="shared" si="1"/>
        <v>-409616.40234375</v>
      </c>
    </row>
    <row r="18" spans="1:25" ht="20.100000000000001" customHeight="1">
      <c r="A18" s="25" t="s">
        <v>0</v>
      </c>
      <c r="B18" s="13"/>
      <c r="C18" s="20">
        <v>3.6499999999999998E-2</v>
      </c>
      <c r="D18" s="14"/>
      <c r="E18" s="44">
        <f t="shared" ref="E18:Y18" si="2">-E13*$C$18</f>
        <v>0</v>
      </c>
      <c r="F18" s="44">
        <f t="shared" si="2"/>
        <v>0</v>
      </c>
      <c r="G18" s="44">
        <f t="shared" si="2"/>
        <v>-15170.996874999997</v>
      </c>
      <c r="H18" s="44">
        <f t="shared" si="2"/>
        <v>-728206.9375</v>
      </c>
      <c r="I18" s="44">
        <f t="shared" si="2"/>
        <v>-728206.9375</v>
      </c>
      <c r="J18" s="44">
        <f t="shared" si="2"/>
        <v>-728206.9375</v>
      </c>
      <c r="K18" s="44">
        <f t="shared" si="2"/>
        <v>-728206.9375</v>
      </c>
      <c r="L18" s="44">
        <f t="shared" si="2"/>
        <v>-728206.9375</v>
      </c>
      <c r="M18" s="44">
        <f t="shared" si="2"/>
        <v>-728206.9375</v>
      </c>
      <c r="N18" s="44">
        <f t="shared" si="2"/>
        <v>-728206.9375</v>
      </c>
      <c r="O18" s="44">
        <f t="shared" si="2"/>
        <v>-728206.9375</v>
      </c>
      <c r="P18" s="44">
        <f t="shared" si="2"/>
        <v>-728206.9375</v>
      </c>
      <c r="Q18" s="44">
        <f t="shared" si="2"/>
        <v>-728206.9375</v>
      </c>
      <c r="R18" s="44">
        <f t="shared" si="2"/>
        <v>-728206.9375</v>
      </c>
      <c r="S18" s="44">
        <f t="shared" si="2"/>
        <v>-728206.9375</v>
      </c>
      <c r="T18" s="44">
        <f t="shared" si="2"/>
        <v>-728206.9375</v>
      </c>
      <c r="U18" s="44">
        <f t="shared" si="2"/>
        <v>-728206.9375</v>
      </c>
      <c r="V18" s="44">
        <f t="shared" si="2"/>
        <v>-728206.9375</v>
      </c>
      <c r="W18" s="44">
        <f t="shared" si="2"/>
        <v>-728206.9375</v>
      </c>
      <c r="X18" s="44">
        <f t="shared" si="2"/>
        <v>-728206.9375</v>
      </c>
      <c r="Y18" s="44">
        <f t="shared" si="2"/>
        <v>-409616.40234375</v>
      </c>
    </row>
    <row r="19" spans="1:25" s="1" customFormat="1" ht="20.100000000000001" customHeight="1">
      <c r="A19" s="12"/>
      <c r="B19" s="12"/>
      <c r="C19" s="12"/>
      <c r="D19" s="12"/>
      <c r="E19" s="45"/>
      <c r="F19" s="45"/>
      <c r="G19" s="45"/>
      <c r="H19" s="45"/>
      <c r="I19" s="45"/>
      <c r="J19" s="45"/>
      <c r="K19" s="45"/>
      <c r="L19" s="45"/>
      <c r="M19" s="45"/>
      <c r="N19" s="45"/>
      <c r="O19" s="45"/>
      <c r="P19" s="45"/>
      <c r="Q19" s="45"/>
      <c r="R19" s="45"/>
      <c r="S19" s="45"/>
      <c r="T19" s="45"/>
      <c r="U19" s="45"/>
      <c r="V19" s="45"/>
      <c r="W19" s="45"/>
      <c r="X19" s="45"/>
      <c r="Y19" s="45"/>
    </row>
    <row r="20" spans="1:25" s="1" customFormat="1" ht="20.100000000000001" customHeight="1">
      <c r="A20" s="309" t="s">
        <v>86</v>
      </c>
      <c r="B20" s="309"/>
      <c r="C20" s="309"/>
      <c r="D20" s="309"/>
      <c r="E20" s="42">
        <f t="shared" ref="E20:Y20" si="3">+E13+E17</f>
        <v>0</v>
      </c>
      <c r="F20" s="42">
        <f t="shared" si="3"/>
        <v>0</v>
      </c>
      <c r="G20" s="42">
        <f t="shared" si="3"/>
        <v>400472.75312499993</v>
      </c>
      <c r="H20" s="42">
        <f t="shared" si="3"/>
        <v>19222668.0625</v>
      </c>
      <c r="I20" s="42">
        <f t="shared" si="3"/>
        <v>19222668.0625</v>
      </c>
      <c r="J20" s="42">
        <f t="shared" si="3"/>
        <v>19222668.0625</v>
      </c>
      <c r="K20" s="42">
        <f t="shared" si="3"/>
        <v>19222668.0625</v>
      </c>
      <c r="L20" s="42">
        <f t="shared" si="3"/>
        <v>19222668.0625</v>
      </c>
      <c r="M20" s="42">
        <f t="shared" si="3"/>
        <v>19222668.0625</v>
      </c>
      <c r="N20" s="42">
        <f t="shared" si="3"/>
        <v>19222668.0625</v>
      </c>
      <c r="O20" s="42">
        <f t="shared" si="3"/>
        <v>19222668.0625</v>
      </c>
      <c r="P20" s="42">
        <f t="shared" si="3"/>
        <v>19222668.0625</v>
      </c>
      <c r="Q20" s="42">
        <f t="shared" si="3"/>
        <v>19222668.0625</v>
      </c>
      <c r="R20" s="42">
        <f t="shared" si="3"/>
        <v>19222668.0625</v>
      </c>
      <c r="S20" s="42">
        <f t="shared" si="3"/>
        <v>19222668.0625</v>
      </c>
      <c r="T20" s="42">
        <f t="shared" si="3"/>
        <v>19222668.0625</v>
      </c>
      <c r="U20" s="42">
        <f t="shared" si="3"/>
        <v>19222668.0625</v>
      </c>
      <c r="V20" s="42">
        <f t="shared" si="3"/>
        <v>19222668.0625</v>
      </c>
      <c r="W20" s="42">
        <f t="shared" si="3"/>
        <v>19222668.0625</v>
      </c>
      <c r="X20" s="42">
        <f t="shared" si="3"/>
        <v>19222668.0625</v>
      </c>
      <c r="Y20" s="42">
        <f t="shared" si="3"/>
        <v>10812750.78515625</v>
      </c>
    </row>
    <row r="21" spans="1:25" s="9" customFormat="1" ht="20.100000000000001" customHeight="1">
      <c r="A21" s="12"/>
      <c r="B21" s="12"/>
      <c r="C21" s="12"/>
      <c r="D21" s="12"/>
      <c r="E21" s="45"/>
      <c r="F21" s="45"/>
      <c r="G21" s="45"/>
      <c r="H21" s="45"/>
      <c r="I21" s="45"/>
      <c r="J21" s="45"/>
      <c r="K21" s="45"/>
      <c r="L21" s="45"/>
      <c r="M21" s="45"/>
      <c r="N21" s="45"/>
      <c r="O21" s="45"/>
      <c r="P21" s="45"/>
      <c r="Q21" s="45"/>
      <c r="R21" s="45"/>
      <c r="S21" s="45"/>
      <c r="T21" s="45"/>
      <c r="U21" s="45"/>
      <c r="V21" s="45"/>
      <c r="W21" s="45"/>
      <c r="X21" s="45"/>
      <c r="Y21" s="45"/>
    </row>
    <row r="22" spans="1:25" s="1" customFormat="1" ht="20.100000000000001" customHeight="1">
      <c r="A22" s="309" t="s">
        <v>87</v>
      </c>
      <c r="B22" s="309"/>
      <c r="C22" s="309"/>
      <c r="D22" s="309"/>
      <c r="E22" s="42">
        <f t="shared" ref="E22:Y22" si="4">SUM(E23:E26)</f>
        <v>0</v>
      </c>
      <c r="F22" s="42">
        <f t="shared" si="4"/>
        <v>0</v>
      </c>
      <c r="G22" s="42">
        <f t="shared" si="4"/>
        <v>0</v>
      </c>
      <c r="H22" s="42">
        <f t="shared" si="4"/>
        <v>-1959866.7683659988</v>
      </c>
      <c r="I22" s="42">
        <f t="shared" si="4"/>
        <v>-1959866.7683659988</v>
      </c>
      <c r="J22" s="42">
        <f t="shared" si="4"/>
        <v>-1959866.7683659988</v>
      </c>
      <c r="K22" s="42">
        <f t="shared" si="4"/>
        <v>-1959866.7683659988</v>
      </c>
      <c r="L22" s="42">
        <f t="shared" si="4"/>
        <v>-1959866.7683659988</v>
      </c>
      <c r="M22" s="42">
        <f t="shared" si="4"/>
        <v>-1959866.7683659988</v>
      </c>
      <c r="N22" s="42">
        <f t="shared" si="4"/>
        <v>-1959866.7683659988</v>
      </c>
      <c r="O22" s="42">
        <f t="shared" si="4"/>
        <v>-1959866.7683659988</v>
      </c>
      <c r="P22" s="42">
        <f t="shared" si="4"/>
        <v>-1959866.7683659988</v>
      </c>
      <c r="Q22" s="42">
        <f t="shared" si="4"/>
        <v>-1959866.7683659988</v>
      </c>
      <c r="R22" s="42">
        <f t="shared" si="4"/>
        <v>-1959866.7683659988</v>
      </c>
      <c r="S22" s="42">
        <f t="shared" si="4"/>
        <v>-1959866.7683659988</v>
      </c>
      <c r="T22" s="42">
        <f t="shared" si="4"/>
        <v>-1959866.7683659988</v>
      </c>
      <c r="U22" s="42">
        <f t="shared" si="4"/>
        <v>-1959866.7683659988</v>
      </c>
      <c r="V22" s="42">
        <f t="shared" si="4"/>
        <v>-1959866.7683659988</v>
      </c>
      <c r="W22" s="42">
        <f t="shared" si="4"/>
        <v>-1959866.7683659988</v>
      </c>
      <c r="X22" s="42">
        <f t="shared" si="4"/>
        <v>-1959866.7683659988</v>
      </c>
      <c r="Y22" s="42">
        <f t="shared" si="4"/>
        <v>-1598301.7183659989</v>
      </c>
    </row>
    <row r="23" spans="1:25" ht="20.100000000000001" customHeight="1">
      <c r="A23" s="16" t="s">
        <v>29</v>
      </c>
      <c r="B23" s="13"/>
      <c r="C23" s="13"/>
      <c r="D23" s="14"/>
      <c r="E23" s="41">
        <f>IF('Control Pannel'!$D$19&gt;='Income Statement'!E5,0,IF($H$1&gt;=E5,'Control Pannel'!$J$39,0))</f>
        <v>0</v>
      </c>
      <c r="F23" s="41">
        <f>IF('Control Pannel'!$D$19&gt;='Income Statement'!F5,0,IF($H$1&gt;=F5,'Control Pannel'!$J$39,0))</f>
        <v>0</v>
      </c>
      <c r="G23" s="41">
        <f>IF('Control Pannel'!$D$19&gt;='Income Statement'!G5,0,IF($H$1&gt;=G5,'Control Pannel'!$J$39,0))</f>
        <v>0</v>
      </c>
      <c r="H23" s="41">
        <f>'Control Pannel'!$J$39</f>
        <v>-1117249</v>
      </c>
      <c r="I23" s="41">
        <f>'Control Pannel'!$J$39</f>
        <v>-1117249</v>
      </c>
      <c r="J23" s="41">
        <f>'Control Pannel'!$J$39</f>
        <v>-1117249</v>
      </c>
      <c r="K23" s="41">
        <f>'Control Pannel'!$J$39</f>
        <v>-1117249</v>
      </c>
      <c r="L23" s="41">
        <f>'Control Pannel'!$J$39</f>
        <v>-1117249</v>
      </c>
      <c r="M23" s="41">
        <f>'Control Pannel'!$J$39</f>
        <v>-1117249</v>
      </c>
      <c r="N23" s="41">
        <f>'Control Pannel'!$J$39</f>
        <v>-1117249</v>
      </c>
      <c r="O23" s="41">
        <f>'Control Pannel'!$J$39</f>
        <v>-1117249</v>
      </c>
      <c r="P23" s="41">
        <f>'Control Pannel'!$J$39</f>
        <v>-1117249</v>
      </c>
      <c r="Q23" s="41">
        <f>'Control Pannel'!$J$39</f>
        <v>-1117249</v>
      </c>
      <c r="R23" s="41">
        <f>'Control Pannel'!$J$39</f>
        <v>-1117249</v>
      </c>
      <c r="S23" s="41">
        <f>'Control Pannel'!$J$39</f>
        <v>-1117249</v>
      </c>
      <c r="T23" s="41">
        <f>'Control Pannel'!$J$39</f>
        <v>-1117249</v>
      </c>
      <c r="U23" s="41">
        <f>'Control Pannel'!$J$39</f>
        <v>-1117249</v>
      </c>
      <c r="V23" s="41">
        <f>'Control Pannel'!$J$39</f>
        <v>-1117249</v>
      </c>
      <c r="W23" s="41">
        <f>'Control Pannel'!$J$39</f>
        <v>-1117249</v>
      </c>
      <c r="X23" s="41">
        <f>'Control Pannel'!$J$39</f>
        <v>-1117249</v>
      </c>
      <c r="Y23" s="41">
        <f>('Control Pannel'!$J$39/12)*J1</f>
        <v>-837936.75</v>
      </c>
    </row>
    <row r="24" spans="1:25" ht="20.100000000000001" customHeight="1">
      <c r="A24" s="165" t="s">
        <v>70</v>
      </c>
      <c r="B24" s="13"/>
      <c r="C24" s="13"/>
      <c r="D24" s="14"/>
      <c r="E24" s="41"/>
      <c r="F24" s="41"/>
      <c r="G24" s="41"/>
      <c r="H24" s="41">
        <f>'Control Pannel'!$J$40</f>
        <v>-476955.68836599897</v>
      </c>
      <c r="I24" s="41">
        <f>'Control Pannel'!$J$40</f>
        <v>-476955.68836599897</v>
      </c>
      <c r="J24" s="41">
        <f>'Control Pannel'!$J$40</f>
        <v>-476955.68836599897</v>
      </c>
      <c r="K24" s="41">
        <f>'Control Pannel'!$J$40</f>
        <v>-476955.68836599897</v>
      </c>
      <c r="L24" s="41">
        <f>'Control Pannel'!$J$40</f>
        <v>-476955.68836599897</v>
      </c>
      <c r="M24" s="41">
        <f>'Control Pannel'!$J$40</f>
        <v>-476955.68836599897</v>
      </c>
      <c r="N24" s="41">
        <f>'Control Pannel'!$J$40</f>
        <v>-476955.68836599897</v>
      </c>
      <c r="O24" s="41">
        <f>'Control Pannel'!$J$40</f>
        <v>-476955.68836599897</v>
      </c>
      <c r="P24" s="41">
        <f>'Control Pannel'!$J$40</f>
        <v>-476955.68836599897</v>
      </c>
      <c r="Q24" s="41">
        <f>'Control Pannel'!$J$40</f>
        <v>-476955.68836599897</v>
      </c>
      <c r="R24" s="41">
        <f>'Control Pannel'!$J$40</f>
        <v>-476955.68836599897</v>
      </c>
      <c r="S24" s="41">
        <f>'Control Pannel'!$J$40</f>
        <v>-476955.68836599897</v>
      </c>
      <c r="T24" s="41">
        <f>'Control Pannel'!$J$40</f>
        <v>-476955.68836599897</v>
      </c>
      <c r="U24" s="41">
        <f>'Control Pannel'!$J$40</f>
        <v>-476955.68836599897</v>
      </c>
      <c r="V24" s="41">
        <f>'Control Pannel'!$J$40</f>
        <v>-476955.68836599897</v>
      </c>
      <c r="W24" s="41">
        <f>'Control Pannel'!$J$40</f>
        <v>-476955.68836599897</v>
      </c>
      <c r="X24" s="41">
        <f>'Control Pannel'!$J$40</f>
        <v>-476955.68836599897</v>
      </c>
      <c r="Y24" s="41">
        <f>'Control Pannel'!$J$40</f>
        <v>-476955.68836599897</v>
      </c>
    </row>
    <row r="25" spans="1:25" ht="20.100000000000001" customHeight="1">
      <c r="A25" s="165" t="s">
        <v>73</v>
      </c>
      <c r="B25" s="13"/>
      <c r="C25" s="13"/>
      <c r="D25" s="14"/>
      <c r="E25" s="41"/>
      <c r="F25" s="41"/>
      <c r="G25" s="41"/>
      <c r="H25" s="41">
        <f>'Control Pannel'!$J$41</f>
        <v>-36650.879999999997</v>
      </c>
      <c r="I25" s="41">
        <f>'Control Pannel'!$J$41</f>
        <v>-36650.879999999997</v>
      </c>
      <c r="J25" s="41">
        <f>'Control Pannel'!$J$41</f>
        <v>-36650.879999999997</v>
      </c>
      <c r="K25" s="41">
        <f>'Control Pannel'!$J$41</f>
        <v>-36650.879999999997</v>
      </c>
      <c r="L25" s="41">
        <f>'Control Pannel'!$J$41</f>
        <v>-36650.879999999997</v>
      </c>
      <c r="M25" s="41">
        <f>'Control Pannel'!$J$41</f>
        <v>-36650.879999999997</v>
      </c>
      <c r="N25" s="41">
        <f>'Control Pannel'!$J$41</f>
        <v>-36650.879999999997</v>
      </c>
      <c r="O25" s="41">
        <f>'Control Pannel'!$J$41</f>
        <v>-36650.879999999997</v>
      </c>
      <c r="P25" s="41">
        <f>'Control Pannel'!$J$41</f>
        <v>-36650.879999999997</v>
      </c>
      <c r="Q25" s="41">
        <f>'Control Pannel'!$J$41</f>
        <v>-36650.879999999997</v>
      </c>
      <c r="R25" s="41">
        <f>'Control Pannel'!$J$41</f>
        <v>-36650.879999999997</v>
      </c>
      <c r="S25" s="41">
        <f>'Control Pannel'!$J$41</f>
        <v>-36650.879999999997</v>
      </c>
      <c r="T25" s="41">
        <f>'Control Pannel'!$J$41</f>
        <v>-36650.879999999997</v>
      </c>
      <c r="U25" s="41">
        <f>'Control Pannel'!$J$41</f>
        <v>-36650.879999999997</v>
      </c>
      <c r="V25" s="41">
        <f>'Control Pannel'!$J$41</f>
        <v>-36650.879999999997</v>
      </c>
      <c r="W25" s="41">
        <f>'Control Pannel'!$J$41</f>
        <v>-36650.879999999997</v>
      </c>
      <c r="X25" s="41">
        <f>'Control Pannel'!$J$41</f>
        <v>-36650.879999999997</v>
      </c>
      <c r="Y25" s="41">
        <f>'Control Pannel'!$J$41</f>
        <v>-36650.879999999997</v>
      </c>
    </row>
    <row r="26" spans="1:25" ht="20.100000000000001" customHeight="1">
      <c r="A26" s="165" t="s">
        <v>71</v>
      </c>
      <c r="B26" s="13"/>
      <c r="C26" s="13"/>
      <c r="D26" s="14"/>
      <c r="E26" s="41"/>
      <c r="F26" s="41"/>
      <c r="G26" s="41"/>
      <c r="H26" s="41">
        <f>'Control Pannel'!$J$43</f>
        <v>-329011.20000000001</v>
      </c>
      <c r="I26" s="41">
        <f>'Control Pannel'!$J$43</f>
        <v>-329011.20000000001</v>
      </c>
      <c r="J26" s="41">
        <f>'Control Pannel'!$J$43</f>
        <v>-329011.20000000001</v>
      </c>
      <c r="K26" s="41">
        <f>'Control Pannel'!$J$43</f>
        <v>-329011.20000000001</v>
      </c>
      <c r="L26" s="41">
        <f>'Control Pannel'!$J$43</f>
        <v>-329011.20000000001</v>
      </c>
      <c r="M26" s="41">
        <f>'Control Pannel'!$J$43</f>
        <v>-329011.20000000001</v>
      </c>
      <c r="N26" s="41">
        <f>'Control Pannel'!$J$43</f>
        <v>-329011.20000000001</v>
      </c>
      <c r="O26" s="41">
        <f>'Control Pannel'!$J$43</f>
        <v>-329011.20000000001</v>
      </c>
      <c r="P26" s="41">
        <f>'Control Pannel'!$J$43</f>
        <v>-329011.20000000001</v>
      </c>
      <c r="Q26" s="41">
        <f>'Control Pannel'!$J$43</f>
        <v>-329011.20000000001</v>
      </c>
      <c r="R26" s="41">
        <f>'Control Pannel'!$J$43</f>
        <v>-329011.20000000001</v>
      </c>
      <c r="S26" s="41">
        <f>'Control Pannel'!$J$43</f>
        <v>-329011.20000000001</v>
      </c>
      <c r="T26" s="41">
        <f>'Control Pannel'!$J$43</f>
        <v>-329011.20000000001</v>
      </c>
      <c r="U26" s="41">
        <f>'Control Pannel'!$J$43</f>
        <v>-329011.20000000001</v>
      </c>
      <c r="V26" s="41">
        <f>'Control Pannel'!$J$43</f>
        <v>-329011.20000000001</v>
      </c>
      <c r="W26" s="41">
        <f>'Control Pannel'!$J$43</f>
        <v>-329011.20000000001</v>
      </c>
      <c r="X26" s="41">
        <f>'Control Pannel'!$J$43</f>
        <v>-329011.20000000001</v>
      </c>
      <c r="Y26" s="41">
        <f>('Control Pannel'!$J$43/12)*J1</f>
        <v>-246758.40000000002</v>
      </c>
    </row>
    <row r="27" spans="1:25" s="1" customFormat="1" ht="20.100000000000001" customHeight="1">
      <c r="A27" s="12"/>
      <c r="B27" s="12"/>
      <c r="C27" s="12"/>
      <c r="D27" s="12"/>
      <c r="E27" s="45"/>
      <c r="F27" s="45"/>
      <c r="G27" s="45"/>
      <c r="H27" s="45"/>
      <c r="I27" s="45"/>
      <c r="J27" s="45"/>
      <c r="K27" s="45"/>
      <c r="L27" s="45"/>
      <c r="M27" s="45"/>
      <c r="N27" s="45"/>
      <c r="O27" s="45"/>
      <c r="P27" s="45"/>
      <c r="Q27" s="45"/>
      <c r="R27" s="45"/>
      <c r="S27" s="45"/>
      <c r="T27" s="45"/>
      <c r="U27" s="45"/>
      <c r="V27" s="45"/>
      <c r="W27" s="45"/>
      <c r="X27" s="45"/>
      <c r="Y27" s="45"/>
    </row>
    <row r="28" spans="1:25" s="1" customFormat="1" ht="20.100000000000001" customHeight="1">
      <c r="A28" s="309" t="s">
        <v>85</v>
      </c>
      <c r="B28" s="309"/>
      <c r="C28" s="309"/>
      <c r="D28" s="309"/>
      <c r="E28" s="42">
        <f t="shared" ref="E28:Y28" si="5">+E20+E22</f>
        <v>0</v>
      </c>
      <c r="F28" s="42">
        <f t="shared" si="5"/>
        <v>0</v>
      </c>
      <c r="G28" s="42">
        <f t="shared" si="5"/>
        <v>400472.75312499993</v>
      </c>
      <c r="H28" s="42">
        <f t="shared" si="5"/>
        <v>17262801.294134002</v>
      </c>
      <c r="I28" s="42">
        <f t="shared" si="5"/>
        <v>17262801.294134002</v>
      </c>
      <c r="J28" s="42">
        <f t="shared" si="5"/>
        <v>17262801.294134002</v>
      </c>
      <c r="K28" s="42">
        <f t="shared" si="5"/>
        <v>17262801.294134002</v>
      </c>
      <c r="L28" s="42">
        <f t="shared" si="5"/>
        <v>17262801.294134002</v>
      </c>
      <c r="M28" s="42">
        <f t="shared" si="5"/>
        <v>17262801.294134002</v>
      </c>
      <c r="N28" s="42">
        <f t="shared" si="5"/>
        <v>17262801.294134002</v>
      </c>
      <c r="O28" s="42">
        <f t="shared" si="5"/>
        <v>17262801.294134002</v>
      </c>
      <c r="P28" s="42">
        <f t="shared" si="5"/>
        <v>17262801.294134002</v>
      </c>
      <c r="Q28" s="42">
        <f t="shared" si="5"/>
        <v>17262801.294134002</v>
      </c>
      <c r="R28" s="42">
        <f t="shared" si="5"/>
        <v>17262801.294134002</v>
      </c>
      <c r="S28" s="42">
        <f t="shared" si="5"/>
        <v>17262801.294134002</v>
      </c>
      <c r="T28" s="42">
        <f t="shared" si="5"/>
        <v>17262801.294134002</v>
      </c>
      <c r="U28" s="42">
        <f t="shared" si="5"/>
        <v>17262801.294134002</v>
      </c>
      <c r="V28" s="42">
        <f t="shared" si="5"/>
        <v>17262801.294134002</v>
      </c>
      <c r="W28" s="42">
        <f t="shared" si="5"/>
        <v>17262801.294134002</v>
      </c>
      <c r="X28" s="42">
        <f t="shared" si="5"/>
        <v>17262801.294134002</v>
      </c>
      <c r="Y28" s="42">
        <f t="shared" si="5"/>
        <v>9214449.0667902511</v>
      </c>
    </row>
    <row r="29" spans="1:25" s="4" customFormat="1" ht="20.100000000000001" customHeight="1">
      <c r="A29" s="311"/>
      <c r="B29" s="311"/>
      <c r="C29" s="311"/>
      <c r="D29" s="311"/>
      <c r="E29" s="46"/>
      <c r="F29" s="46"/>
      <c r="G29" s="46"/>
      <c r="H29" s="46"/>
      <c r="I29" s="46"/>
      <c r="J29" s="46"/>
      <c r="K29" s="46"/>
      <c r="L29" s="46"/>
      <c r="M29" s="46"/>
      <c r="N29" s="46"/>
      <c r="O29" s="46"/>
      <c r="P29" s="46"/>
      <c r="Q29" s="46"/>
      <c r="R29" s="46"/>
      <c r="S29" s="46"/>
      <c r="T29" s="46"/>
      <c r="U29" s="46"/>
      <c r="V29" s="46"/>
      <c r="W29" s="46"/>
      <c r="X29" s="46"/>
      <c r="Y29" s="46"/>
    </row>
    <row r="30" spans="1:25" s="1" customFormat="1" ht="20.100000000000001" customHeight="1">
      <c r="A30" s="312" t="s">
        <v>32</v>
      </c>
      <c r="B30" s="313"/>
      <c r="C30" s="313"/>
      <c r="D30" s="314"/>
      <c r="E30" s="42">
        <f t="shared" ref="E30:Y30" si="6">SUM(E31:E34)</f>
        <v>0</v>
      </c>
      <c r="F30" s="42">
        <f t="shared" si="6"/>
        <v>0</v>
      </c>
      <c r="G30" s="42">
        <f t="shared" si="6"/>
        <v>-4488.9524999999994</v>
      </c>
      <c r="H30" s="42">
        <f t="shared" si="6"/>
        <v>-590486.94999999995</v>
      </c>
      <c r="I30" s="42">
        <f t="shared" si="6"/>
        <v>-590486.94999999995</v>
      </c>
      <c r="J30" s="42">
        <f t="shared" si="6"/>
        <v>-590486.94999999995</v>
      </c>
      <c r="K30" s="42">
        <f t="shared" si="6"/>
        <v>-590486.94999999995</v>
      </c>
      <c r="L30" s="42">
        <f t="shared" si="6"/>
        <v>-590486.94999999995</v>
      </c>
      <c r="M30" s="42">
        <f t="shared" si="6"/>
        <v>-590486.94999999995</v>
      </c>
      <c r="N30" s="42">
        <f t="shared" si="6"/>
        <v>-590486.94999999995</v>
      </c>
      <c r="O30" s="42">
        <f t="shared" si="6"/>
        <v>-590486.94999999995</v>
      </c>
      <c r="P30" s="42">
        <f t="shared" si="6"/>
        <v>-590486.94999999995</v>
      </c>
      <c r="Q30" s="42">
        <f t="shared" si="6"/>
        <v>-590486.94999999995</v>
      </c>
      <c r="R30" s="42">
        <f t="shared" si="6"/>
        <v>-590486.94999999995</v>
      </c>
      <c r="S30" s="42">
        <f t="shared" si="6"/>
        <v>-590486.94999999995</v>
      </c>
      <c r="T30" s="42">
        <f t="shared" si="6"/>
        <v>-590486.94999999995</v>
      </c>
      <c r="U30" s="42">
        <f t="shared" si="6"/>
        <v>-590486.94999999995</v>
      </c>
      <c r="V30" s="42">
        <f t="shared" si="6"/>
        <v>-590486.94999999995</v>
      </c>
      <c r="W30" s="42">
        <f t="shared" si="6"/>
        <v>-590486.94999999995</v>
      </c>
      <c r="X30" s="42">
        <f t="shared" si="6"/>
        <v>-590486.94999999995</v>
      </c>
      <c r="Y30" s="42">
        <f t="shared" si="6"/>
        <v>-321648.90937499999</v>
      </c>
    </row>
    <row r="31" spans="1:25" ht="20.100000000000001" customHeight="1">
      <c r="A31" s="54" t="s">
        <v>67</v>
      </c>
      <c r="B31" s="21"/>
      <c r="C31" s="302">
        <v>0.25</v>
      </c>
      <c r="D31" s="303"/>
      <c r="E31" s="44"/>
      <c r="F31" s="44"/>
      <c r="G31" s="44"/>
      <c r="H31" s="44">
        <f>IF(H13*$C$32&gt;240000,-240000*15%)-(H13*$C$32-240000)*0.15-(H13*$C$32-240000)*0.1</f>
        <v>-375017.5</v>
      </c>
      <c r="I31" s="44">
        <f t="shared" ref="I31:Y31" si="7">IF(I13*$C$32&gt;240000,-240000*15%)-(I13*$C$32-240000)*0.15-(I13*$C$32-240000)*0.1</f>
        <v>-375017.5</v>
      </c>
      <c r="J31" s="44">
        <f t="shared" si="7"/>
        <v>-375017.5</v>
      </c>
      <c r="K31" s="44">
        <f t="shared" si="7"/>
        <v>-375017.5</v>
      </c>
      <c r="L31" s="44">
        <f t="shared" si="7"/>
        <v>-375017.5</v>
      </c>
      <c r="M31" s="44">
        <f t="shared" si="7"/>
        <v>-375017.5</v>
      </c>
      <c r="N31" s="44">
        <f t="shared" si="7"/>
        <v>-375017.5</v>
      </c>
      <c r="O31" s="44">
        <f t="shared" si="7"/>
        <v>-375017.5</v>
      </c>
      <c r="P31" s="44">
        <f t="shared" si="7"/>
        <v>-375017.5</v>
      </c>
      <c r="Q31" s="44">
        <f t="shared" si="7"/>
        <v>-375017.5</v>
      </c>
      <c r="R31" s="44">
        <f t="shared" si="7"/>
        <v>-375017.5</v>
      </c>
      <c r="S31" s="44">
        <f t="shared" si="7"/>
        <v>-375017.5</v>
      </c>
      <c r="T31" s="44">
        <f t="shared" si="7"/>
        <v>-375017.5</v>
      </c>
      <c r="U31" s="44">
        <f t="shared" si="7"/>
        <v>-375017.5</v>
      </c>
      <c r="V31" s="44">
        <f t="shared" si="7"/>
        <v>-375017.5</v>
      </c>
      <c r="W31" s="44">
        <f t="shared" si="7"/>
        <v>-375017.5</v>
      </c>
      <c r="X31" s="44">
        <f t="shared" si="7"/>
        <v>-375017.5</v>
      </c>
      <c r="Y31" s="44">
        <f t="shared" si="7"/>
        <v>-200447.34375</v>
      </c>
    </row>
    <row r="32" spans="1:25" ht="20.100000000000001" customHeight="1">
      <c r="A32" s="53" t="s">
        <v>65</v>
      </c>
      <c r="B32" s="13"/>
      <c r="C32" s="302">
        <v>0.08</v>
      </c>
      <c r="D32" s="303"/>
      <c r="E32" s="44"/>
      <c r="F32" s="44"/>
      <c r="G32" s="44"/>
      <c r="H32" s="44"/>
      <c r="I32" s="44"/>
      <c r="J32" s="44"/>
      <c r="K32" s="44"/>
      <c r="L32" s="44"/>
      <c r="M32" s="44"/>
      <c r="N32" s="44"/>
      <c r="O32" s="44"/>
      <c r="P32" s="44"/>
      <c r="Q32" s="44"/>
      <c r="R32" s="44"/>
      <c r="S32" s="44"/>
      <c r="T32" s="44"/>
      <c r="U32" s="44"/>
      <c r="V32" s="44"/>
      <c r="W32" s="44"/>
      <c r="X32" s="44"/>
      <c r="Y32" s="44"/>
    </row>
    <row r="33" spans="1:25" ht="20.100000000000001" customHeight="1">
      <c r="A33" s="157" t="s">
        <v>66</v>
      </c>
      <c r="B33" s="19"/>
      <c r="C33" s="302">
        <v>0.09</v>
      </c>
      <c r="D33" s="303"/>
      <c r="E33" s="44">
        <f>E13*$C$34*$C$33</f>
        <v>0</v>
      </c>
      <c r="F33" s="44">
        <f>F13*$C$34*$C$33</f>
        <v>0</v>
      </c>
      <c r="G33" s="44">
        <f>-G13*$C$34*$C$33</f>
        <v>-4488.9524999999994</v>
      </c>
      <c r="H33" s="44">
        <f t="shared" ref="H33:Y33" si="8">-H13*$C$34*$C$33</f>
        <v>-215469.44999999998</v>
      </c>
      <c r="I33" s="44">
        <f t="shared" si="8"/>
        <v>-215469.44999999998</v>
      </c>
      <c r="J33" s="44">
        <f t="shared" si="8"/>
        <v>-215469.44999999998</v>
      </c>
      <c r="K33" s="44">
        <f t="shared" si="8"/>
        <v>-215469.44999999998</v>
      </c>
      <c r="L33" s="44">
        <f t="shared" si="8"/>
        <v>-215469.44999999998</v>
      </c>
      <c r="M33" s="44">
        <f t="shared" si="8"/>
        <v>-215469.44999999998</v>
      </c>
      <c r="N33" s="44">
        <f t="shared" si="8"/>
        <v>-215469.44999999998</v>
      </c>
      <c r="O33" s="44">
        <f t="shared" si="8"/>
        <v>-215469.44999999998</v>
      </c>
      <c r="P33" s="44">
        <f t="shared" si="8"/>
        <v>-215469.44999999998</v>
      </c>
      <c r="Q33" s="44">
        <f t="shared" si="8"/>
        <v>-215469.44999999998</v>
      </c>
      <c r="R33" s="44">
        <f t="shared" si="8"/>
        <v>-215469.44999999998</v>
      </c>
      <c r="S33" s="44">
        <f t="shared" si="8"/>
        <v>-215469.44999999998</v>
      </c>
      <c r="T33" s="44">
        <f t="shared" si="8"/>
        <v>-215469.44999999998</v>
      </c>
      <c r="U33" s="44">
        <f t="shared" si="8"/>
        <v>-215469.44999999998</v>
      </c>
      <c r="V33" s="44">
        <f t="shared" si="8"/>
        <v>-215469.44999999998</v>
      </c>
      <c r="W33" s="44">
        <f t="shared" si="8"/>
        <v>-215469.44999999998</v>
      </c>
      <c r="X33" s="44">
        <f t="shared" si="8"/>
        <v>-215469.44999999998</v>
      </c>
      <c r="Y33" s="44">
        <f t="shared" si="8"/>
        <v>-121201.56562499999</v>
      </c>
    </row>
    <row r="34" spans="1:25" ht="20.100000000000001" customHeight="1">
      <c r="A34" s="157" t="s">
        <v>65</v>
      </c>
      <c r="B34" s="19"/>
      <c r="C34" s="302">
        <v>0.12</v>
      </c>
      <c r="D34" s="303"/>
      <c r="E34" s="44"/>
      <c r="F34" s="44"/>
      <c r="G34" s="44"/>
      <c r="H34" s="44"/>
      <c r="I34" s="44"/>
      <c r="J34" s="44"/>
      <c r="K34" s="44"/>
      <c r="L34" s="44"/>
      <c r="M34" s="44"/>
      <c r="N34" s="44"/>
      <c r="O34" s="44"/>
      <c r="P34" s="44"/>
      <c r="Q34" s="44"/>
      <c r="R34" s="44"/>
      <c r="S34" s="44"/>
      <c r="T34" s="44"/>
      <c r="U34" s="44"/>
      <c r="V34" s="44"/>
      <c r="W34" s="44"/>
      <c r="X34" s="44"/>
      <c r="Y34" s="44"/>
    </row>
    <row r="35" spans="1:25" ht="20.100000000000001" customHeight="1">
      <c r="E35" s="43"/>
      <c r="F35" s="43"/>
      <c r="G35" s="43"/>
      <c r="H35" s="43"/>
      <c r="I35" s="43"/>
      <c r="J35" s="43"/>
      <c r="K35" s="43"/>
      <c r="L35" s="43"/>
      <c r="M35" s="43"/>
      <c r="N35" s="43"/>
      <c r="O35" s="43"/>
      <c r="P35" s="43"/>
      <c r="Q35" s="43"/>
      <c r="R35" s="43"/>
      <c r="S35" s="43"/>
      <c r="T35" s="43"/>
      <c r="U35" s="43"/>
      <c r="V35" s="43"/>
      <c r="W35" s="43"/>
      <c r="X35" s="43"/>
      <c r="Y35" s="43"/>
    </row>
    <row r="36" spans="1:25" s="1" customFormat="1" ht="20.100000000000001" customHeight="1">
      <c r="A36" s="310" t="s">
        <v>88</v>
      </c>
      <c r="B36" s="310"/>
      <c r="C36" s="310"/>
      <c r="D36" s="310"/>
      <c r="E36" s="42">
        <f t="shared" ref="E36:Y36" si="9">+E28+E30</f>
        <v>0</v>
      </c>
      <c r="F36" s="42">
        <f t="shared" si="9"/>
        <v>0</v>
      </c>
      <c r="G36" s="42">
        <f t="shared" si="9"/>
        <v>395983.80062499992</v>
      </c>
      <c r="H36" s="42">
        <f t="shared" si="9"/>
        <v>16672314.344134003</v>
      </c>
      <c r="I36" s="42">
        <f t="shared" si="9"/>
        <v>16672314.344134003</v>
      </c>
      <c r="J36" s="42">
        <f t="shared" si="9"/>
        <v>16672314.344134003</v>
      </c>
      <c r="K36" s="42">
        <f t="shared" si="9"/>
        <v>16672314.344134003</v>
      </c>
      <c r="L36" s="42">
        <f t="shared" si="9"/>
        <v>16672314.344134003</v>
      </c>
      <c r="M36" s="42">
        <f t="shared" si="9"/>
        <v>16672314.344134003</v>
      </c>
      <c r="N36" s="42">
        <f t="shared" si="9"/>
        <v>16672314.344134003</v>
      </c>
      <c r="O36" s="42">
        <f t="shared" si="9"/>
        <v>16672314.344134003</v>
      </c>
      <c r="P36" s="42">
        <f t="shared" si="9"/>
        <v>16672314.344134003</v>
      </c>
      <c r="Q36" s="42">
        <f t="shared" si="9"/>
        <v>16672314.344134003</v>
      </c>
      <c r="R36" s="42">
        <f t="shared" si="9"/>
        <v>16672314.344134003</v>
      </c>
      <c r="S36" s="42">
        <f t="shared" si="9"/>
        <v>16672314.344134003</v>
      </c>
      <c r="T36" s="42">
        <f t="shared" si="9"/>
        <v>16672314.344134003</v>
      </c>
      <c r="U36" s="42">
        <f t="shared" si="9"/>
        <v>16672314.344134003</v>
      </c>
      <c r="V36" s="42">
        <f t="shared" si="9"/>
        <v>16672314.344134003</v>
      </c>
      <c r="W36" s="42">
        <f t="shared" si="9"/>
        <v>16672314.344134003</v>
      </c>
      <c r="X36" s="42">
        <f t="shared" si="9"/>
        <v>16672314.344134003</v>
      </c>
      <c r="Y36" s="42">
        <f t="shared" si="9"/>
        <v>8892800.1574152503</v>
      </c>
    </row>
    <row r="37" spans="1:25" ht="20.100000000000001" customHeight="1">
      <c r="E37" s="18"/>
      <c r="F37" s="18"/>
      <c r="G37" s="18"/>
      <c r="H37" s="18"/>
      <c r="I37" s="18"/>
      <c r="J37" s="18"/>
      <c r="K37" s="18"/>
      <c r="L37" s="18"/>
      <c r="M37" s="18"/>
      <c r="N37" s="18"/>
    </row>
    <row r="38" spans="1:25" ht="20.100000000000001" customHeight="1" thickBot="1">
      <c r="E38" s="18"/>
      <c r="F38" s="18"/>
      <c r="G38" s="18"/>
      <c r="H38" s="18"/>
      <c r="I38" s="18"/>
      <c r="J38" s="18"/>
      <c r="K38" s="18"/>
      <c r="L38" s="18"/>
      <c r="M38" s="18"/>
      <c r="N38" s="18"/>
    </row>
    <row r="39" spans="1:25" ht="20.100000000000001" customHeight="1" thickBot="1">
      <c r="F39" s="315" t="s">
        <v>111</v>
      </c>
      <c r="G39" s="316"/>
      <c r="H39" s="317"/>
    </row>
    <row r="40" spans="1:25" s="174" customFormat="1" ht="20.100000000000001" customHeight="1">
      <c r="E40" s="175"/>
      <c r="F40" s="318" t="s">
        <v>116</v>
      </c>
      <c r="G40" s="319"/>
      <c r="H40" s="230">
        <f>H13</f>
        <v>19950875</v>
      </c>
      <c r="I40" s="175"/>
      <c r="J40" s="175"/>
      <c r="K40" s="175"/>
      <c r="L40" s="175"/>
      <c r="M40" s="175"/>
      <c r="N40" s="175"/>
      <c r="O40" s="175"/>
      <c r="P40" s="175"/>
      <c r="Q40" s="175"/>
      <c r="R40" s="175"/>
      <c r="S40" s="175"/>
      <c r="T40" s="175"/>
      <c r="U40" s="175"/>
      <c r="V40" s="175"/>
      <c r="W40" s="175"/>
      <c r="X40" s="175"/>
      <c r="Y40" s="175"/>
    </row>
    <row r="41" spans="1:25" ht="20.100000000000001" customHeight="1" thickBot="1">
      <c r="F41" s="231" t="s">
        <v>112</v>
      </c>
      <c r="G41" s="232">
        <v>0.08</v>
      </c>
      <c r="H41" s="233">
        <f>H40*G41</f>
        <v>1596070</v>
      </c>
    </row>
    <row r="42" spans="1:25" ht="20.100000000000001" customHeight="1">
      <c r="F42" s="320" t="s">
        <v>113</v>
      </c>
      <c r="G42" s="234">
        <v>240000</v>
      </c>
      <c r="H42" s="322">
        <f>G42*G43</f>
        <v>36000</v>
      </c>
    </row>
    <row r="43" spans="1:25" ht="20.100000000000001" customHeight="1" thickBot="1">
      <c r="F43" s="321"/>
      <c r="G43" s="235">
        <v>0.15</v>
      </c>
      <c r="H43" s="323"/>
    </row>
    <row r="44" spans="1:25" ht="20.100000000000001" customHeight="1">
      <c r="F44" s="324" t="s">
        <v>117</v>
      </c>
      <c r="G44" s="236">
        <f>G42</f>
        <v>240000</v>
      </c>
      <c r="H44" s="237">
        <f>H41-G44</f>
        <v>1356070</v>
      </c>
    </row>
    <row r="45" spans="1:25" ht="20.100000000000001" customHeight="1">
      <c r="F45" s="325"/>
      <c r="G45" s="238">
        <v>0.15</v>
      </c>
      <c r="H45" s="239">
        <f>H44*G45</f>
        <v>203410.5</v>
      </c>
    </row>
    <row r="46" spans="1:25" ht="61.5" customHeight="1" thickBot="1">
      <c r="F46" s="326"/>
      <c r="G46" s="235">
        <v>0.1</v>
      </c>
      <c r="H46" s="240">
        <f>H44*G46</f>
        <v>135607</v>
      </c>
    </row>
    <row r="47" spans="1:25" ht="20.100000000000001" customHeight="1" thickBot="1">
      <c r="F47" s="304"/>
      <c r="G47" s="305"/>
      <c r="H47" s="306"/>
    </row>
    <row r="48" spans="1:25" ht="20.100000000000001" customHeight="1" thickBot="1">
      <c r="F48" s="307" t="s">
        <v>114</v>
      </c>
      <c r="G48" s="308"/>
      <c r="H48" s="241">
        <f>H46+H45+H42</f>
        <v>375017.5</v>
      </c>
    </row>
  </sheetData>
  <sheetProtection selectLockedCells="1"/>
  <mergeCells count="23">
    <mergeCell ref="A5:D5"/>
    <mergeCell ref="A13:D13"/>
    <mergeCell ref="A22:D22"/>
    <mergeCell ref="A17:D17"/>
    <mergeCell ref="C9:D9"/>
    <mergeCell ref="A10:B10"/>
    <mergeCell ref="C11:D11"/>
    <mergeCell ref="C34:D34"/>
    <mergeCell ref="C33:D33"/>
    <mergeCell ref="F47:H47"/>
    <mergeCell ref="F48:G48"/>
    <mergeCell ref="A20:D20"/>
    <mergeCell ref="A36:D36"/>
    <mergeCell ref="A29:D29"/>
    <mergeCell ref="C31:D31"/>
    <mergeCell ref="A28:D28"/>
    <mergeCell ref="A30:D30"/>
    <mergeCell ref="C32:D32"/>
    <mergeCell ref="F39:H39"/>
    <mergeCell ref="F40:G40"/>
    <mergeCell ref="F42:F43"/>
    <mergeCell ref="H42:H43"/>
    <mergeCell ref="F44:F46"/>
  </mergeCells>
  <phoneticPr fontId="0" type="noConversion"/>
  <printOptions horizontalCentered="1"/>
  <pageMargins left="0.39370078740157483" right="0.39370078740157483" top="0.59055118110236227" bottom="0.59055118110236227" header="0.51181102362204722" footer="0.51181102362204722"/>
  <pageSetup paperSize="9" scale="45" orientation="landscape" r:id="rId1"/>
  <headerFooter alignWithMargins="0"/>
</worksheet>
</file>

<file path=xl/worksheets/sheet3.xml><?xml version="1.0" encoding="utf-8"?>
<worksheet xmlns="http://schemas.openxmlformats.org/spreadsheetml/2006/main" xmlns:r="http://schemas.openxmlformats.org/officeDocument/2006/relationships">
  <sheetPr codeName="Plan3">
    <pageSetUpPr fitToPage="1"/>
  </sheetPr>
  <dimension ref="A1:Y31"/>
  <sheetViews>
    <sheetView showGridLines="0" topLeftCell="A16" zoomScale="80" zoomScaleNormal="80" workbookViewId="0">
      <selection activeCell="G21" sqref="G21"/>
    </sheetView>
  </sheetViews>
  <sheetFormatPr defaultColWidth="9.140625" defaultRowHeight="20.100000000000001" customHeight="1"/>
  <cols>
    <col min="1" max="1" width="15.42578125" style="24" customWidth="1"/>
    <col min="2" max="2" width="8.7109375" style="24" customWidth="1"/>
    <col min="3" max="3" width="19.140625" style="24" customWidth="1"/>
    <col min="4" max="4" width="4.28515625" style="24" customWidth="1"/>
    <col min="5" max="5" width="12.7109375" style="109" customWidth="1"/>
    <col min="6" max="6" width="13.85546875" style="109" bestFit="1" customWidth="1"/>
    <col min="7" max="8" width="14.5703125" style="109" bestFit="1" customWidth="1"/>
    <col min="9" max="9" width="14" style="109" customWidth="1"/>
    <col min="10" max="10" width="14.42578125" style="109" customWidth="1"/>
    <col min="11" max="11" width="15.140625" style="109" customWidth="1"/>
    <col min="12" max="12" width="14.85546875" style="109" customWidth="1"/>
    <col min="13" max="13" width="13.28515625" style="109" customWidth="1"/>
    <col min="14" max="14" width="14.42578125" style="109" customWidth="1"/>
    <col min="15" max="15" width="14" style="24" customWidth="1"/>
    <col min="16" max="16" width="16.28515625" style="24" customWidth="1"/>
    <col min="17" max="17" width="16" style="24" customWidth="1"/>
    <col min="18" max="18" width="15.5703125" style="24" customWidth="1"/>
    <col min="19" max="25" width="13.85546875" style="24" bestFit="1" customWidth="1"/>
    <col min="26" max="16384" width="9.140625" style="4"/>
  </cols>
  <sheetData>
    <row r="1" spans="1:25" s="2" customFormat="1" ht="20.100000000000001" customHeight="1">
      <c r="A1" s="52" t="s">
        <v>80</v>
      </c>
      <c r="B1" s="103"/>
      <c r="C1" s="103"/>
      <c r="D1" s="103"/>
      <c r="E1" s="103"/>
      <c r="F1" s="104"/>
      <c r="G1" s="110"/>
      <c r="H1" s="105">
        <f>'Income Statement'!H1</f>
        <v>20</v>
      </c>
      <c r="I1" s="223" t="s">
        <v>19</v>
      </c>
      <c r="J1" s="224">
        <v>9</v>
      </c>
      <c r="K1" s="223" t="s">
        <v>105</v>
      </c>
      <c r="L1" s="104"/>
      <c r="M1" s="104"/>
      <c r="N1" s="111"/>
      <c r="O1" s="111"/>
      <c r="P1" s="111"/>
      <c r="Q1" s="111"/>
      <c r="R1" s="111"/>
      <c r="S1" s="111"/>
      <c r="T1" s="111"/>
      <c r="U1" s="111"/>
      <c r="V1" s="111"/>
      <c r="W1" s="111"/>
      <c r="X1" s="111"/>
      <c r="Y1" s="111"/>
    </row>
    <row r="2" spans="1:25" ht="20.100000000000001" customHeight="1">
      <c r="A2" s="9"/>
      <c r="B2" s="9"/>
      <c r="C2" s="9"/>
      <c r="D2" s="9"/>
      <c r="E2" s="9"/>
      <c r="F2" s="23"/>
      <c r="G2" s="142"/>
      <c r="H2" s="112"/>
      <c r="I2" s="23"/>
      <c r="J2" s="23"/>
      <c r="K2" s="23"/>
      <c r="L2" s="23"/>
      <c r="M2" s="23"/>
      <c r="N2" s="23"/>
      <c r="O2" s="23"/>
      <c r="P2" s="23"/>
      <c r="Q2" s="23"/>
      <c r="R2" s="23"/>
      <c r="S2" s="23"/>
      <c r="T2" s="23"/>
      <c r="U2" s="23"/>
      <c r="V2" s="23"/>
      <c r="W2" s="23"/>
      <c r="X2" s="23"/>
    </row>
    <row r="3" spans="1:25" ht="20.100000000000001" customHeight="1">
      <c r="A3" s="52" t="s">
        <v>21</v>
      </c>
      <c r="B3" s="103"/>
      <c r="C3" s="113"/>
      <c r="D3" s="9"/>
      <c r="E3" s="9"/>
      <c r="F3" s="23"/>
      <c r="G3" s="164"/>
      <c r="H3" s="23"/>
      <c r="I3" s="23"/>
      <c r="J3" s="23"/>
      <c r="K3" s="23"/>
      <c r="L3" s="23"/>
      <c r="M3" s="23"/>
      <c r="N3" s="23"/>
      <c r="O3" s="23"/>
      <c r="P3" s="23"/>
      <c r="Q3" s="23"/>
      <c r="R3" s="23"/>
      <c r="S3" s="23"/>
      <c r="T3" s="23"/>
      <c r="U3" s="23"/>
      <c r="V3" s="23"/>
      <c r="W3" s="23"/>
      <c r="X3" s="23"/>
    </row>
    <row r="4" spans="1:25" ht="20.100000000000001" customHeight="1">
      <c r="A4" s="9"/>
      <c r="B4" s="9"/>
      <c r="C4" s="9"/>
      <c r="D4" s="9"/>
      <c r="E4" s="141"/>
      <c r="F4" s="141"/>
      <c r="G4" s="141"/>
      <c r="H4" s="141"/>
      <c r="I4" s="141"/>
      <c r="J4" s="141"/>
      <c r="K4" s="141"/>
      <c r="L4" s="141"/>
      <c r="M4" s="141"/>
      <c r="N4" s="141"/>
      <c r="O4" s="141"/>
      <c r="P4" s="141"/>
      <c r="Q4" s="141"/>
      <c r="R4" s="141"/>
      <c r="S4" s="141"/>
      <c r="T4" s="141"/>
      <c r="U4" s="141"/>
      <c r="V4" s="141"/>
      <c r="W4" s="141"/>
      <c r="X4" s="141"/>
      <c r="Y4" s="141"/>
    </row>
    <row r="5" spans="1:25" s="9" customFormat="1" ht="20.100000000000001" customHeight="1">
      <c r="A5" s="327" t="s">
        <v>22</v>
      </c>
      <c r="B5" s="327"/>
      <c r="C5" s="327"/>
      <c r="D5" s="327"/>
      <c r="E5" s="40">
        <v>1</v>
      </c>
      <c r="F5" s="40">
        <v>2</v>
      </c>
      <c r="G5" s="40">
        <v>3</v>
      </c>
      <c r="H5" s="40">
        <v>4</v>
      </c>
      <c r="I5" s="40">
        <v>5</v>
      </c>
      <c r="J5" s="40">
        <v>6</v>
      </c>
      <c r="K5" s="40">
        <v>7</v>
      </c>
      <c r="L5" s="40">
        <v>8</v>
      </c>
      <c r="M5" s="40">
        <v>9</v>
      </c>
      <c r="N5" s="40">
        <v>10</v>
      </c>
      <c r="O5" s="40">
        <v>11</v>
      </c>
      <c r="P5" s="40">
        <v>12</v>
      </c>
      <c r="Q5" s="40">
        <v>13</v>
      </c>
      <c r="R5" s="40">
        <v>14</v>
      </c>
      <c r="S5" s="40">
        <v>15</v>
      </c>
      <c r="T5" s="40">
        <v>16</v>
      </c>
      <c r="U5" s="40">
        <v>17</v>
      </c>
      <c r="V5" s="40">
        <v>18</v>
      </c>
      <c r="W5" s="40">
        <v>19</v>
      </c>
      <c r="X5" s="40">
        <v>20</v>
      </c>
      <c r="Y5" s="40">
        <v>21</v>
      </c>
    </row>
    <row r="6" spans="1:25" s="10" customFormat="1" ht="20.100000000000001" customHeight="1">
      <c r="A6" s="334" t="s">
        <v>33</v>
      </c>
      <c r="B6" s="334"/>
      <c r="C6" s="334"/>
      <c r="D6" s="334"/>
      <c r="E6" s="39">
        <f>+'Income Statement'!E20</f>
        <v>0</v>
      </c>
      <c r="F6" s="39">
        <f>+'Income Statement'!F20</f>
        <v>0</v>
      </c>
      <c r="G6" s="39">
        <f>+'Income Statement'!G20</f>
        <v>400472.75312499993</v>
      </c>
      <c r="H6" s="39">
        <f>+'Income Statement'!H20</f>
        <v>19222668.0625</v>
      </c>
      <c r="I6" s="39">
        <f>+'Income Statement'!I20</f>
        <v>19222668.0625</v>
      </c>
      <c r="J6" s="39">
        <f>+'Income Statement'!J20</f>
        <v>19222668.0625</v>
      </c>
      <c r="K6" s="39">
        <f>+'Income Statement'!K20</f>
        <v>19222668.0625</v>
      </c>
      <c r="L6" s="39">
        <f>+'Income Statement'!L20</f>
        <v>19222668.0625</v>
      </c>
      <c r="M6" s="39">
        <f>+'Income Statement'!M20</f>
        <v>19222668.0625</v>
      </c>
      <c r="N6" s="39">
        <f>+'Income Statement'!N20</f>
        <v>19222668.0625</v>
      </c>
      <c r="O6" s="39">
        <f>+'Income Statement'!O20</f>
        <v>19222668.0625</v>
      </c>
      <c r="P6" s="39">
        <f>+'Income Statement'!P20</f>
        <v>19222668.0625</v>
      </c>
      <c r="Q6" s="39">
        <f>+'Income Statement'!Q20</f>
        <v>19222668.0625</v>
      </c>
      <c r="R6" s="39">
        <f>+'Income Statement'!R20</f>
        <v>19222668.0625</v>
      </c>
      <c r="S6" s="39">
        <f>+'Income Statement'!S20</f>
        <v>19222668.0625</v>
      </c>
      <c r="T6" s="39">
        <f>+'Income Statement'!T20</f>
        <v>19222668.0625</v>
      </c>
      <c r="U6" s="39">
        <f>+'Income Statement'!U20</f>
        <v>19222668.0625</v>
      </c>
      <c r="V6" s="39">
        <f>+'Income Statement'!V20</f>
        <v>19222668.0625</v>
      </c>
      <c r="W6" s="39">
        <f>+'Income Statement'!W20</f>
        <v>19222668.0625</v>
      </c>
      <c r="X6" s="39">
        <f>+'Income Statement'!X20</f>
        <v>19222668.0625</v>
      </c>
      <c r="Y6" s="39">
        <f>+'Income Statement'!Y20</f>
        <v>10812750.78515625</v>
      </c>
    </row>
    <row r="7" spans="1:25" s="11" customFormat="1" ht="20.100000000000001" customHeight="1">
      <c r="A7" s="340" t="s">
        <v>68</v>
      </c>
      <c r="B7" s="341"/>
      <c r="C7" s="341"/>
      <c r="D7" s="342"/>
      <c r="E7" s="39">
        <f>+'Income Statement'!E22</f>
        <v>0</v>
      </c>
      <c r="F7" s="39">
        <f>+'Income Statement'!F22</f>
        <v>0</v>
      </c>
      <c r="G7" s="39">
        <f>+'Income Statement'!G22</f>
        <v>0</v>
      </c>
      <c r="H7" s="39">
        <f>+'Income Statement'!H22</f>
        <v>-1959866.7683659988</v>
      </c>
      <c r="I7" s="39">
        <f>+'Income Statement'!I22</f>
        <v>-1959866.7683659988</v>
      </c>
      <c r="J7" s="39">
        <f>+'Income Statement'!J22</f>
        <v>-1959866.7683659988</v>
      </c>
      <c r="K7" s="39">
        <f>+'Income Statement'!K22</f>
        <v>-1959866.7683659988</v>
      </c>
      <c r="L7" s="39">
        <f>+'Income Statement'!L22</f>
        <v>-1959866.7683659988</v>
      </c>
      <c r="M7" s="39">
        <f>+'Income Statement'!M22</f>
        <v>-1959866.7683659988</v>
      </c>
      <c r="N7" s="39">
        <f>+'Income Statement'!N22</f>
        <v>-1959866.7683659988</v>
      </c>
      <c r="O7" s="39">
        <f>+'Income Statement'!O22</f>
        <v>-1959866.7683659988</v>
      </c>
      <c r="P7" s="39">
        <f>+'Income Statement'!P22</f>
        <v>-1959866.7683659988</v>
      </c>
      <c r="Q7" s="39">
        <f>+'Income Statement'!Q22</f>
        <v>-1959866.7683659988</v>
      </c>
      <c r="R7" s="39">
        <f>+'Income Statement'!R22</f>
        <v>-1959866.7683659988</v>
      </c>
      <c r="S7" s="39">
        <f>+'Income Statement'!S22</f>
        <v>-1959866.7683659988</v>
      </c>
      <c r="T7" s="39">
        <f>+'Income Statement'!T22</f>
        <v>-1959866.7683659988</v>
      </c>
      <c r="U7" s="39">
        <f>+'Income Statement'!U22</f>
        <v>-1959866.7683659988</v>
      </c>
      <c r="V7" s="39">
        <f>+'Income Statement'!V22</f>
        <v>-1959866.7683659988</v>
      </c>
      <c r="W7" s="39">
        <f>+'Income Statement'!W22</f>
        <v>-1959866.7683659988</v>
      </c>
      <c r="X7" s="39">
        <f>+'Income Statement'!X22</f>
        <v>-1959866.7683659988</v>
      </c>
      <c r="Y7" s="39">
        <f>+'Income Statement'!Y22</f>
        <v>-1598301.7183659989</v>
      </c>
    </row>
    <row r="8" spans="1:25" s="11" customFormat="1" ht="20.100000000000001" customHeight="1">
      <c r="A8" s="340" t="s">
        <v>32</v>
      </c>
      <c r="B8" s="341"/>
      <c r="C8" s="341"/>
      <c r="D8" s="342"/>
      <c r="E8" s="39">
        <f>+'Income Statement'!E30</f>
        <v>0</v>
      </c>
      <c r="F8" s="39">
        <f>+'Income Statement'!F30</f>
        <v>0</v>
      </c>
      <c r="G8" s="39">
        <f>+'Income Statement'!G30</f>
        <v>-4488.9524999999994</v>
      </c>
      <c r="H8" s="39">
        <f>+'Income Statement'!H30</f>
        <v>-590486.94999999995</v>
      </c>
      <c r="I8" s="39">
        <f>+'Income Statement'!I30</f>
        <v>-590486.94999999995</v>
      </c>
      <c r="J8" s="39">
        <f>+'Income Statement'!J30</f>
        <v>-590486.94999999995</v>
      </c>
      <c r="K8" s="39">
        <f>+'Income Statement'!K30</f>
        <v>-590486.94999999995</v>
      </c>
      <c r="L8" s="39">
        <f>+'Income Statement'!L30</f>
        <v>-590486.94999999995</v>
      </c>
      <c r="M8" s="39">
        <f>+'Income Statement'!M30</f>
        <v>-590486.94999999995</v>
      </c>
      <c r="N8" s="39">
        <f>+'Income Statement'!N30</f>
        <v>-590486.94999999995</v>
      </c>
      <c r="O8" s="39">
        <f>+'Income Statement'!O30</f>
        <v>-590486.94999999995</v>
      </c>
      <c r="P8" s="39">
        <f>+'Income Statement'!P30</f>
        <v>-590486.94999999995</v>
      </c>
      <c r="Q8" s="39">
        <f>+'Income Statement'!Q30</f>
        <v>-590486.94999999995</v>
      </c>
      <c r="R8" s="39">
        <f>+'Income Statement'!R30</f>
        <v>-590486.94999999995</v>
      </c>
      <c r="S8" s="39">
        <f>+'Income Statement'!S30</f>
        <v>-590486.94999999995</v>
      </c>
      <c r="T8" s="39">
        <f>+'Income Statement'!T30</f>
        <v>-590486.94999999995</v>
      </c>
      <c r="U8" s="39">
        <f>+'Income Statement'!U30</f>
        <v>-590486.94999999995</v>
      </c>
      <c r="V8" s="39">
        <f>+'Income Statement'!V30</f>
        <v>-590486.94999999995</v>
      </c>
      <c r="W8" s="39">
        <f>+'Income Statement'!W30</f>
        <v>-590486.94999999995</v>
      </c>
      <c r="X8" s="39">
        <f>+'Income Statement'!X30</f>
        <v>-590486.94999999995</v>
      </c>
      <c r="Y8" s="39">
        <f>+'Income Statement'!Y30</f>
        <v>-321648.90937499999</v>
      </c>
    </row>
    <row r="9" spans="1:25" s="9" customFormat="1" ht="20.100000000000001" customHeight="1">
      <c r="A9" s="334" t="s">
        <v>34</v>
      </c>
      <c r="B9" s="334"/>
      <c r="C9" s="334"/>
      <c r="D9" s="334"/>
      <c r="E9" s="39">
        <f t="shared" ref="E9:Y9" si="0">SUM(E6:E8)</f>
        <v>0</v>
      </c>
      <c r="F9" s="39">
        <f t="shared" si="0"/>
        <v>0</v>
      </c>
      <c r="G9" s="39">
        <f t="shared" si="0"/>
        <v>395983.80062499992</v>
      </c>
      <c r="H9" s="39">
        <f t="shared" si="0"/>
        <v>16672314.344134003</v>
      </c>
      <c r="I9" s="39">
        <f t="shared" si="0"/>
        <v>16672314.344134003</v>
      </c>
      <c r="J9" s="39">
        <f t="shared" si="0"/>
        <v>16672314.344134003</v>
      </c>
      <c r="K9" s="39">
        <f t="shared" si="0"/>
        <v>16672314.344134003</v>
      </c>
      <c r="L9" s="39">
        <f t="shared" si="0"/>
        <v>16672314.344134003</v>
      </c>
      <c r="M9" s="39">
        <f t="shared" si="0"/>
        <v>16672314.344134003</v>
      </c>
      <c r="N9" s="39">
        <f t="shared" si="0"/>
        <v>16672314.344134003</v>
      </c>
      <c r="O9" s="39">
        <f t="shared" si="0"/>
        <v>16672314.344134003</v>
      </c>
      <c r="P9" s="39">
        <f t="shared" si="0"/>
        <v>16672314.344134003</v>
      </c>
      <c r="Q9" s="39">
        <f t="shared" si="0"/>
        <v>16672314.344134003</v>
      </c>
      <c r="R9" s="39">
        <f t="shared" si="0"/>
        <v>16672314.344134003</v>
      </c>
      <c r="S9" s="39">
        <f t="shared" si="0"/>
        <v>16672314.344134003</v>
      </c>
      <c r="T9" s="39">
        <f t="shared" si="0"/>
        <v>16672314.344134003</v>
      </c>
      <c r="U9" s="39">
        <f t="shared" si="0"/>
        <v>16672314.344134003</v>
      </c>
      <c r="V9" s="39">
        <f t="shared" si="0"/>
        <v>16672314.344134003</v>
      </c>
      <c r="W9" s="39">
        <f t="shared" si="0"/>
        <v>16672314.344134003</v>
      </c>
      <c r="X9" s="39">
        <f t="shared" si="0"/>
        <v>16672314.344134003</v>
      </c>
      <c r="Y9" s="39">
        <f t="shared" si="0"/>
        <v>8892800.1574152503</v>
      </c>
    </row>
    <row r="10" spans="1:25" s="9" customFormat="1" ht="20.100000000000001" customHeight="1">
      <c r="A10" s="334" t="s">
        <v>35</v>
      </c>
      <c r="B10" s="334"/>
      <c r="C10" s="334"/>
      <c r="D10" s="334"/>
      <c r="E10" s="39">
        <v>0</v>
      </c>
      <c r="F10" s="39">
        <f t="shared" ref="F10:S10" si="1">IF($H$1&gt;=F5,IF($H$1&gt;1,+E13,0),0)</f>
        <v>0</v>
      </c>
      <c r="G10" s="39">
        <f t="shared" si="1"/>
        <v>0</v>
      </c>
      <c r="H10" s="39">
        <f t="shared" si="1"/>
        <v>395983.80062499992</v>
      </c>
      <c r="I10" s="39">
        <f t="shared" si="1"/>
        <v>16672314.344134003</v>
      </c>
      <c r="J10" s="39">
        <f t="shared" si="1"/>
        <v>16672314.344134003</v>
      </c>
      <c r="K10" s="39">
        <f t="shared" si="1"/>
        <v>16672314.344134003</v>
      </c>
      <c r="L10" s="39">
        <f t="shared" si="1"/>
        <v>16672314.344134003</v>
      </c>
      <c r="M10" s="39">
        <f t="shared" si="1"/>
        <v>16672314.344134003</v>
      </c>
      <c r="N10" s="39">
        <f t="shared" si="1"/>
        <v>16672314.344134003</v>
      </c>
      <c r="O10" s="39">
        <f t="shared" si="1"/>
        <v>16672314.344134003</v>
      </c>
      <c r="P10" s="39">
        <f t="shared" si="1"/>
        <v>16672314.344134003</v>
      </c>
      <c r="Q10" s="39">
        <f t="shared" si="1"/>
        <v>16672314.344134003</v>
      </c>
      <c r="R10" s="39">
        <f t="shared" si="1"/>
        <v>16672314.344134003</v>
      </c>
      <c r="S10" s="39">
        <f t="shared" si="1"/>
        <v>16672314.344134003</v>
      </c>
      <c r="T10" s="39">
        <f t="shared" ref="T10:X10" si="2">+S13</f>
        <v>16672314.344134003</v>
      </c>
      <c r="U10" s="39">
        <f t="shared" si="2"/>
        <v>16672314.344134003</v>
      </c>
      <c r="V10" s="39">
        <f t="shared" si="2"/>
        <v>16672314.344134003</v>
      </c>
      <c r="W10" s="39">
        <f t="shared" si="2"/>
        <v>16672314.344134003</v>
      </c>
      <c r="X10" s="39">
        <f t="shared" si="2"/>
        <v>16672314.344134003</v>
      </c>
      <c r="Y10" s="39">
        <f>+X13</f>
        <v>16672314.344134003</v>
      </c>
    </row>
    <row r="11" spans="1:25" s="9" customFormat="1" ht="20.100000000000001" customHeight="1">
      <c r="A11" s="334" t="s">
        <v>64</v>
      </c>
      <c r="B11" s="334"/>
      <c r="C11" s="334"/>
      <c r="D11" s="334"/>
      <c r="E11" s="39">
        <f>+E9</f>
        <v>0</v>
      </c>
      <c r="F11" s="39">
        <f t="shared" ref="F11:N11" si="3">+F9+F10</f>
        <v>0</v>
      </c>
      <c r="G11" s="39">
        <f t="shared" si="3"/>
        <v>395983.80062499992</v>
      </c>
      <c r="H11" s="39">
        <f t="shared" si="3"/>
        <v>17068298.144759003</v>
      </c>
      <c r="I11" s="39">
        <f t="shared" si="3"/>
        <v>33344628.688268006</v>
      </c>
      <c r="J11" s="39">
        <f t="shared" si="3"/>
        <v>33344628.688268006</v>
      </c>
      <c r="K11" s="39">
        <f t="shared" si="3"/>
        <v>33344628.688268006</v>
      </c>
      <c r="L11" s="39">
        <f t="shared" si="3"/>
        <v>33344628.688268006</v>
      </c>
      <c r="M11" s="39">
        <f t="shared" si="3"/>
        <v>33344628.688268006</v>
      </c>
      <c r="N11" s="39">
        <f t="shared" si="3"/>
        <v>33344628.688268006</v>
      </c>
      <c r="O11" s="39">
        <f t="shared" ref="O11:X11" si="4">+O9+O10</f>
        <v>33344628.688268006</v>
      </c>
      <c r="P11" s="39">
        <f t="shared" si="4"/>
        <v>33344628.688268006</v>
      </c>
      <c r="Q11" s="39">
        <f t="shared" si="4"/>
        <v>33344628.688268006</v>
      </c>
      <c r="R11" s="39">
        <f t="shared" si="4"/>
        <v>33344628.688268006</v>
      </c>
      <c r="S11" s="39">
        <f t="shared" si="4"/>
        <v>33344628.688268006</v>
      </c>
      <c r="T11" s="39">
        <f t="shared" si="4"/>
        <v>33344628.688268006</v>
      </c>
      <c r="U11" s="39">
        <f t="shared" si="4"/>
        <v>33344628.688268006</v>
      </c>
      <c r="V11" s="39">
        <f t="shared" si="4"/>
        <v>33344628.688268006</v>
      </c>
      <c r="W11" s="39">
        <f t="shared" si="4"/>
        <v>33344628.688268006</v>
      </c>
      <c r="X11" s="39">
        <f t="shared" si="4"/>
        <v>33344628.688268006</v>
      </c>
      <c r="Y11" s="39">
        <f>+Y9+Y10</f>
        <v>25565114.501549251</v>
      </c>
    </row>
    <row r="12" spans="1:25" s="9" customFormat="1" ht="20.100000000000001" customHeight="1">
      <c r="A12" s="334"/>
      <c r="B12" s="334"/>
      <c r="C12" s="334"/>
      <c r="D12" s="334"/>
      <c r="E12" s="39"/>
      <c r="F12" s="39"/>
      <c r="G12" s="39"/>
      <c r="H12" s="39"/>
      <c r="I12" s="39"/>
      <c r="J12" s="39"/>
      <c r="K12" s="39"/>
      <c r="L12" s="39"/>
      <c r="M12" s="39"/>
      <c r="N12" s="39"/>
      <c r="O12" s="39"/>
      <c r="P12" s="39"/>
      <c r="Q12" s="39"/>
      <c r="R12" s="39"/>
      <c r="S12" s="39"/>
      <c r="T12" s="39"/>
      <c r="U12" s="39"/>
      <c r="V12" s="39"/>
      <c r="W12" s="39"/>
      <c r="X12" s="39"/>
      <c r="Y12" s="39"/>
    </row>
    <row r="13" spans="1:25" s="9" customFormat="1" ht="20.100000000000001" customHeight="1">
      <c r="A13" s="309" t="s">
        <v>36</v>
      </c>
      <c r="B13" s="309"/>
      <c r="C13" s="309"/>
      <c r="D13" s="309"/>
      <c r="E13" s="115">
        <f>+E9</f>
        <v>0</v>
      </c>
      <c r="F13" s="115">
        <f t="shared" ref="F13:Y13" si="5">+F9</f>
        <v>0</v>
      </c>
      <c r="G13" s="115">
        <f t="shared" si="5"/>
        <v>395983.80062499992</v>
      </c>
      <c r="H13" s="115">
        <f t="shared" si="5"/>
        <v>16672314.344134003</v>
      </c>
      <c r="I13" s="115">
        <f t="shared" si="5"/>
        <v>16672314.344134003</v>
      </c>
      <c r="J13" s="115">
        <f t="shared" si="5"/>
        <v>16672314.344134003</v>
      </c>
      <c r="K13" s="115">
        <f t="shared" si="5"/>
        <v>16672314.344134003</v>
      </c>
      <c r="L13" s="115">
        <f t="shared" si="5"/>
        <v>16672314.344134003</v>
      </c>
      <c r="M13" s="115">
        <f t="shared" si="5"/>
        <v>16672314.344134003</v>
      </c>
      <c r="N13" s="115">
        <f t="shared" si="5"/>
        <v>16672314.344134003</v>
      </c>
      <c r="O13" s="115">
        <f t="shared" si="5"/>
        <v>16672314.344134003</v>
      </c>
      <c r="P13" s="115">
        <f t="shared" si="5"/>
        <v>16672314.344134003</v>
      </c>
      <c r="Q13" s="115">
        <f t="shared" si="5"/>
        <v>16672314.344134003</v>
      </c>
      <c r="R13" s="115">
        <f t="shared" si="5"/>
        <v>16672314.344134003</v>
      </c>
      <c r="S13" s="115">
        <f t="shared" si="5"/>
        <v>16672314.344134003</v>
      </c>
      <c r="T13" s="115">
        <f t="shared" si="5"/>
        <v>16672314.344134003</v>
      </c>
      <c r="U13" s="115">
        <f t="shared" si="5"/>
        <v>16672314.344134003</v>
      </c>
      <c r="V13" s="115">
        <f t="shared" si="5"/>
        <v>16672314.344134003</v>
      </c>
      <c r="W13" s="115">
        <f t="shared" si="5"/>
        <v>16672314.344134003</v>
      </c>
      <c r="X13" s="115">
        <f t="shared" si="5"/>
        <v>16672314.344134003</v>
      </c>
      <c r="Y13" s="115">
        <f t="shared" si="5"/>
        <v>8892800.1574152503</v>
      </c>
    </row>
    <row r="14" spans="1:25" ht="20.100000000000001" hidden="1" customHeight="1">
      <c r="E14" s="34">
        <f>IF(E13&gt;1,0,1)</f>
        <v>1</v>
      </c>
      <c r="F14" s="34">
        <f t="shared" ref="F14:N14" si="6">IF(F13&gt;1,0,1)</f>
        <v>1</v>
      </c>
      <c r="G14" s="34">
        <f t="shared" si="6"/>
        <v>0</v>
      </c>
      <c r="H14" s="34">
        <f t="shared" si="6"/>
        <v>0</v>
      </c>
      <c r="I14" s="34">
        <f t="shared" si="6"/>
        <v>0</v>
      </c>
      <c r="J14" s="34">
        <f t="shared" si="6"/>
        <v>0</v>
      </c>
      <c r="K14" s="34">
        <f t="shared" si="6"/>
        <v>0</v>
      </c>
      <c r="L14" s="34">
        <f t="shared" si="6"/>
        <v>0</v>
      </c>
      <c r="M14" s="34">
        <f t="shared" si="6"/>
        <v>0</v>
      </c>
      <c r="N14" s="34">
        <f t="shared" si="6"/>
        <v>0</v>
      </c>
      <c r="O14" s="34">
        <f>IF(O13&gt;1,0,1)</f>
        <v>0</v>
      </c>
      <c r="P14" s="34">
        <f>IF(P13&gt;1,0,1)</f>
        <v>0</v>
      </c>
      <c r="Q14" s="34">
        <f>IF(Q13&gt;1,0,1)</f>
        <v>0</v>
      </c>
      <c r="R14" s="34">
        <f>IF(R13&gt;1,0,1)</f>
        <v>0</v>
      </c>
      <c r="S14" s="34">
        <f>IF(S13&gt;1,0,1)</f>
        <v>0</v>
      </c>
      <c r="T14" s="34">
        <v>0</v>
      </c>
      <c r="U14" s="34">
        <v>0</v>
      </c>
      <c r="V14" s="34">
        <v>0</v>
      </c>
      <c r="W14" s="34">
        <v>0</v>
      </c>
      <c r="X14" s="34">
        <v>0</v>
      </c>
      <c r="Y14" s="34">
        <v>0</v>
      </c>
    </row>
    <row r="15" spans="1:25" ht="20.100000000000001" hidden="1" customHeight="1">
      <c r="F15" s="35">
        <f t="shared" ref="F15:Y15" si="7">IF(AND(E13&lt;0,F13&gt;0),-E13/F9,0)</f>
        <v>0</v>
      </c>
      <c r="G15" s="35">
        <f t="shared" si="7"/>
        <v>0</v>
      </c>
      <c r="H15" s="35">
        <f t="shared" si="7"/>
        <v>0</v>
      </c>
      <c r="I15" s="35">
        <f t="shared" si="7"/>
        <v>0</v>
      </c>
      <c r="J15" s="35">
        <f t="shared" si="7"/>
        <v>0</v>
      </c>
      <c r="K15" s="35">
        <f t="shared" si="7"/>
        <v>0</v>
      </c>
      <c r="L15" s="35">
        <f t="shared" si="7"/>
        <v>0</v>
      </c>
      <c r="M15" s="35">
        <f t="shared" si="7"/>
        <v>0</v>
      </c>
      <c r="N15" s="35">
        <f t="shared" si="7"/>
        <v>0</v>
      </c>
      <c r="O15" s="35">
        <f t="shared" si="7"/>
        <v>0</v>
      </c>
      <c r="P15" s="35">
        <f t="shared" si="7"/>
        <v>0</v>
      </c>
      <c r="Q15" s="35">
        <f t="shared" si="7"/>
        <v>0</v>
      </c>
      <c r="R15" s="35">
        <f t="shared" si="7"/>
        <v>0</v>
      </c>
      <c r="S15" s="35">
        <f t="shared" si="7"/>
        <v>0</v>
      </c>
      <c r="T15" s="35">
        <f t="shared" si="7"/>
        <v>0</v>
      </c>
      <c r="U15" s="35">
        <f t="shared" si="7"/>
        <v>0</v>
      </c>
      <c r="V15" s="35">
        <f t="shared" si="7"/>
        <v>0</v>
      </c>
      <c r="W15" s="35">
        <f t="shared" si="7"/>
        <v>0</v>
      </c>
      <c r="X15" s="35">
        <f t="shared" si="7"/>
        <v>0</v>
      </c>
      <c r="Y15" s="35">
        <f t="shared" si="7"/>
        <v>0</v>
      </c>
    </row>
    <row r="16" spans="1:25" ht="20.100000000000001" customHeight="1">
      <c r="F16" s="35"/>
      <c r="G16" s="35"/>
      <c r="H16" s="35"/>
      <c r="I16" s="35"/>
      <c r="J16" s="35"/>
      <c r="K16" s="35"/>
      <c r="L16" s="35"/>
      <c r="M16" s="35"/>
      <c r="N16" s="35"/>
      <c r="O16" s="35"/>
      <c r="P16" s="35"/>
      <c r="Q16" s="35"/>
      <c r="R16" s="35"/>
      <c r="S16" s="35"/>
      <c r="T16" s="35"/>
      <c r="U16" s="35"/>
      <c r="V16" s="35"/>
      <c r="W16" s="35"/>
      <c r="X16" s="35"/>
      <c r="Y16" s="35"/>
    </row>
    <row r="17" spans="1:25" ht="20.100000000000001" customHeight="1">
      <c r="A17" s="335" t="s">
        <v>4</v>
      </c>
      <c r="B17" s="336"/>
      <c r="C17" s="336"/>
      <c r="D17" s="337"/>
      <c r="E17" s="144">
        <f>CERs!$B$10</f>
        <v>684661.35969000007</v>
      </c>
      <c r="F17" s="144">
        <f>CERs!$B$10</f>
        <v>684661.35969000007</v>
      </c>
      <c r="G17" s="144">
        <f>CERs!$B$10</f>
        <v>684661.35969000007</v>
      </c>
      <c r="H17" s="144">
        <f>CERs!$B$10</f>
        <v>684661.35969000007</v>
      </c>
      <c r="I17" s="144">
        <f>CERs!$B$10</f>
        <v>684661.35969000007</v>
      </c>
      <c r="J17" s="126">
        <f>CERs!$B$10</f>
        <v>684661.35969000007</v>
      </c>
      <c r="K17" s="126">
        <f>CERs!$B$10</f>
        <v>684661.35969000007</v>
      </c>
      <c r="L17" s="126">
        <f>CERs!$B$10</f>
        <v>684661.35969000007</v>
      </c>
      <c r="M17" s="126">
        <f>CERs!$B$10</f>
        <v>684661.35969000007</v>
      </c>
      <c r="N17" s="126">
        <f>CERs!$B$10</f>
        <v>684661.35969000007</v>
      </c>
      <c r="O17" s="126">
        <f>CERs!$B$10</f>
        <v>684661.35969000007</v>
      </c>
      <c r="P17" s="126">
        <f>CERs!$B$10</f>
        <v>684661.35969000007</v>
      </c>
      <c r="Q17" s="126">
        <f>CERs!$B$10</f>
        <v>684661.35969000007</v>
      </c>
      <c r="R17" s="126">
        <f>CERs!$B$10</f>
        <v>684661.35969000007</v>
      </c>
      <c r="S17" s="144">
        <f>CERs!$B$10</f>
        <v>684661.35969000007</v>
      </c>
      <c r="T17" s="126">
        <f>CERs!$B$10</f>
        <v>684661.35969000007</v>
      </c>
      <c r="U17" s="126">
        <f>CERs!$B$10</f>
        <v>684661.35969000007</v>
      </c>
      <c r="V17" s="126">
        <f>CERs!$B$10</f>
        <v>684661.35969000007</v>
      </c>
      <c r="W17" s="126">
        <f>CERs!$B$10</f>
        <v>684661.35969000007</v>
      </c>
      <c r="X17" s="126">
        <f>CERs!$B$10</f>
        <v>684661.35969000007</v>
      </c>
      <c r="Y17" s="126">
        <f>(CERs!$B$10/12)*J1</f>
        <v>513496.01976750005</v>
      </c>
    </row>
    <row r="18" spans="1:25" ht="20.100000000000001" customHeight="1">
      <c r="C18" s="116"/>
      <c r="F18" s="35"/>
      <c r="G18" s="35"/>
      <c r="H18" s="35"/>
      <c r="I18" s="35"/>
      <c r="J18" s="35"/>
      <c r="K18" s="35"/>
      <c r="L18" s="35"/>
      <c r="M18" s="35"/>
      <c r="N18" s="35"/>
    </row>
    <row r="19" spans="1:25" s="24" customFormat="1" ht="20.100000000000001" customHeight="1">
      <c r="A19" s="108" t="s">
        <v>2</v>
      </c>
      <c r="B19" s="338">
        <f>SUM(E14:X15)</f>
        <v>2</v>
      </c>
      <c r="C19" s="338"/>
      <c r="D19" s="339"/>
      <c r="E19" s="109"/>
      <c r="F19" s="35"/>
      <c r="G19" s="35"/>
      <c r="H19" s="35"/>
      <c r="I19" s="35"/>
      <c r="J19" s="35"/>
      <c r="K19" s="35"/>
      <c r="L19" s="35"/>
      <c r="M19" s="35"/>
      <c r="N19" s="35"/>
    </row>
    <row r="20" spans="1:25" ht="20.100000000000001" customHeight="1">
      <c r="A20" s="117"/>
      <c r="B20" s="9"/>
      <c r="C20" s="118"/>
      <c r="D20" s="118"/>
      <c r="F20" s="36"/>
      <c r="G20" s="36"/>
      <c r="H20" s="36"/>
      <c r="I20" s="36"/>
      <c r="J20" s="36"/>
      <c r="K20" s="36"/>
      <c r="L20" s="36"/>
      <c r="M20" s="36"/>
      <c r="N20" s="36"/>
    </row>
    <row r="21" spans="1:25" ht="20.100000000000001" customHeight="1">
      <c r="A21" s="16" t="s">
        <v>5</v>
      </c>
      <c r="B21" s="120"/>
      <c r="C21" s="345"/>
      <c r="D21" s="346"/>
      <c r="E21" s="121"/>
      <c r="F21" s="114"/>
      <c r="G21" s="122"/>
      <c r="H21" s="122">
        <v>0</v>
      </c>
      <c r="I21" s="122">
        <v>0</v>
      </c>
      <c r="J21" s="122">
        <v>0</v>
      </c>
      <c r="K21" s="122">
        <v>0</v>
      </c>
      <c r="L21" s="122">
        <v>0</v>
      </c>
      <c r="M21" s="122">
        <v>0</v>
      </c>
      <c r="N21" s="122">
        <v>0</v>
      </c>
      <c r="O21" s="122">
        <v>0</v>
      </c>
      <c r="P21" s="122">
        <v>0</v>
      </c>
      <c r="Q21" s="122">
        <v>0</v>
      </c>
      <c r="R21" s="122">
        <v>0</v>
      </c>
      <c r="S21" s="122">
        <v>0</v>
      </c>
      <c r="T21" s="122">
        <v>0</v>
      </c>
      <c r="U21" s="122">
        <v>0</v>
      </c>
      <c r="V21" s="122">
        <v>0</v>
      </c>
      <c r="W21" s="122">
        <v>0</v>
      </c>
      <c r="X21" s="122">
        <v>0</v>
      </c>
      <c r="Y21" s="122">
        <v>0</v>
      </c>
    </row>
    <row r="22" spans="1:25" s="24" customFormat="1" ht="20.100000000000001" customHeight="1">
      <c r="A22" s="28" t="s">
        <v>37</v>
      </c>
      <c r="B22" s="29"/>
      <c r="C22" s="343"/>
      <c r="D22" s="344"/>
      <c r="E22" s="30">
        <f>-'Control Pannel'!E6</f>
        <v>-15898522.9455333</v>
      </c>
      <c r="F22" s="30">
        <f>-'Control Pannel'!E7</f>
        <v>-79492614.727666497</v>
      </c>
      <c r="G22" s="30">
        <f>-'Control Pannel'!E8+G13</f>
        <v>-63198107.981508203</v>
      </c>
      <c r="H22" s="30">
        <f>+H13+H21-'Control Pannel'!H9</f>
        <v>16672314.344134003</v>
      </c>
      <c r="I22" s="30">
        <f t="shared" ref="I22:Y22" si="8">+I13+I21</f>
        <v>16672314.344134003</v>
      </c>
      <c r="J22" s="30">
        <f t="shared" si="8"/>
        <v>16672314.344134003</v>
      </c>
      <c r="K22" s="30">
        <f t="shared" si="8"/>
        <v>16672314.344134003</v>
      </c>
      <c r="L22" s="30">
        <f t="shared" si="8"/>
        <v>16672314.344134003</v>
      </c>
      <c r="M22" s="30">
        <f t="shared" si="8"/>
        <v>16672314.344134003</v>
      </c>
      <c r="N22" s="30">
        <f t="shared" si="8"/>
        <v>16672314.344134003</v>
      </c>
      <c r="O22" s="30">
        <f t="shared" si="8"/>
        <v>16672314.344134003</v>
      </c>
      <c r="P22" s="30">
        <f t="shared" si="8"/>
        <v>16672314.344134003</v>
      </c>
      <c r="Q22" s="30">
        <f t="shared" si="8"/>
        <v>16672314.344134003</v>
      </c>
      <c r="R22" s="30">
        <f t="shared" si="8"/>
        <v>16672314.344134003</v>
      </c>
      <c r="S22" s="30">
        <f t="shared" si="8"/>
        <v>16672314.344134003</v>
      </c>
      <c r="T22" s="30">
        <f t="shared" si="8"/>
        <v>16672314.344134003</v>
      </c>
      <c r="U22" s="30">
        <f t="shared" si="8"/>
        <v>16672314.344134003</v>
      </c>
      <c r="V22" s="30">
        <f t="shared" si="8"/>
        <v>16672314.344134003</v>
      </c>
      <c r="W22" s="30">
        <f t="shared" si="8"/>
        <v>16672314.344134003</v>
      </c>
      <c r="X22" s="30">
        <f t="shared" si="8"/>
        <v>16672314.344134003</v>
      </c>
      <c r="Y22" s="30">
        <f t="shared" si="8"/>
        <v>8892800.1574152503</v>
      </c>
    </row>
    <row r="23" spans="1:25" ht="20.100000000000001" customHeight="1">
      <c r="A23" s="24" t="s">
        <v>38</v>
      </c>
      <c r="E23" s="123">
        <f>E22+E17</f>
        <v>-15213861.5858433</v>
      </c>
      <c r="F23" s="123">
        <f>F22+F17</f>
        <v>-78807953.367976502</v>
      </c>
      <c r="G23" s="123">
        <f>G22+G17</f>
        <v>-62513446.6218182</v>
      </c>
      <c r="H23" s="123">
        <f>H22+H17</f>
        <v>17356975.703824002</v>
      </c>
      <c r="I23" s="123">
        <f>(I22+I17)*'Sensitivity Analysis'!D34</f>
        <v>17356975.703824002</v>
      </c>
      <c r="J23" s="123">
        <f t="shared" ref="J23:Y23" si="9">J22+J17</f>
        <v>17356975.703824002</v>
      </c>
      <c r="K23" s="123">
        <f t="shared" si="9"/>
        <v>17356975.703824002</v>
      </c>
      <c r="L23" s="123">
        <f t="shared" si="9"/>
        <v>17356975.703824002</v>
      </c>
      <c r="M23" s="123">
        <f t="shared" si="9"/>
        <v>17356975.703824002</v>
      </c>
      <c r="N23" s="123">
        <f t="shared" si="9"/>
        <v>17356975.703824002</v>
      </c>
      <c r="O23" s="123">
        <f t="shared" si="9"/>
        <v>17356975.703824002</v>
      </c>
      <c r="P23" s="123">
        <f t="shared" si="9"/>
        <v>17356975.703824002</v>
      </c>
      <c r="Q23" s="123">
        <f t="shared" si="9"/>
        <v>17356975.703824002</v>
      </c>
      <c r="R23" s="123">
        <f t="shared" si="9"/>
        <v>17356975.703824002</v>
      </c>
      <c r="S23" s="123">
        <f t="shared" si="9"/>
        <v>17356975.703824002</v>
      </c>
      <c r="T23" s="123">
        <f t="shared" si="9"/>
        <v>17356975.703824002</v>
      </c>
      <c r="U23" s="123">
        <f t="shared" si="9"/>
        <v>17356975.703824002</v>
      </c>
      <c r="V23" s="123">
        <f t="shared" si="9"/>
        <v>17356975.703824002</v>
      </c>
      <c r="W23" s="123">
        <f t="shared" si="9"/>
        <v>17356975.703824002</v>
      </c>
      <c r="X23" s="123">
        <f t="shared" si="9"/>
        <v>17356975.703824002</v>
      </c>
      <c r="Y23" s="123">
        <f t="shared" si="9"/>
        <v>9406296.1771827508</v>
      </c>
    </row>
    <row r="24" spans="1:25" s="9" customFormat="1" ht="20.100000000000001" customHeight="1">
      <c r="G24" s="23"/>
      <c r="H24" s="23"/>
      <c r="I24" s="23"/>
      <c r="J24" s="23"/>
      <c r="K24" s="23"/>
      <c r="L24" s="23"/>
      <c r="M24" s="23"/>
      <c r="N24" s="23"/>
    </row>
    <row r="25" spans="1:25" s="24" customFormat="1" ht="20.100000000000001" customHeight="1">
      <c r="A25" s="108" t="s">
        <v>1</v>
      </c>
      <c r="B25" s="331">
        <f>IRR(E22:Y22,)</f>
        <v>6.9185662512983415E-2</v>
      </c>
      <c r="C25" s="331"/>
      <c r="D25" s="332"/>
      <c r="F25" s="109"/>
      <c r="G25" s="109"/>
      <c r="H25" s="109"/>
      <c r="I25" s="109"/>
      <c r="J25" s="109"/>
      <c r="K25" s="109"/>
      <c r="L25" s="109"/>
      <c r="M25" s="109"/>
      <c r="N25" s="109"/>
    </row>
    <row r="26" spans="1:25" s="24" customFormat="1" ht="20.100000000000001" customHeight="1">
      <c r="A26" s="108" t="s">
        <v>39</v>
      </c>
      <c r="B26" s="331">
        <f>IRR(E23:Y23)</f>
        <v>7.618293456644594E-2</v>
      </c>
      <c r="C26" s="331"/>
      <c r="D26" s="332"/>
      <c r="G26" s="109"/>
      <c r="H26" s="109"/>
      <c r="I26" s="109"/>
      <c r="J26" s="109"/>
      <c r="K26" s="109"/>
      <c r="L26" s="109"/>
      <c r="M26" s="109"/>
      <c r="N26" s="109"/>
    </row>
    <row r="27" spans="1:25" ht="20.100000000000001" customHeight="1">
      <c r="E27" s="24"/>
      <c r="F27" s="24"/>
    </row>
    <row r="28" spans="1:25" ht="20.100000000000001" customHeight="1">
      <c r="C28" s="196"/>
      <c r="E28" s="124"/>
      <c r="F28" s="124"/>
      <c r="G28" s="124"/>
      <c r="H28" s="124"/>
      <c r="I28" s="124"/>
      <c r="J28" s="124"/>
      <c r="K28" s="124"/>
      <c r="L28" s="124"/>
      <c r="M28" s="124"/>
      <c r="N28" s="124"/>
      <c r="O28" s="124"/>
      <c r="P28" s="124"/>
      <c r="Q28" s="124"/>
      <c r="R28" s="124"/>
      <c r="S28" s="124"/>
      <c r="T28" s="124"/>
      <c r="U28" s="124"/>
      <c r="V28" s="124"/>
      <c r="W28" s="124"/>
      <c r="X28" s="124"/>
    </row>
    <row r="29" spans="1:25" ht="20.100000000000001" customHeight="1">
      <c r="E29" s="24"/>
      <c r="F29" s="24"/>
    </row>
    <row r="30" spans="1:25" ht="20.100000000000001" customHeight="1">
      <c r="A30" s="125"/>
    </row>
    <row r="31" spans="1:25" ht="20.100000000000001" customHeight="1">
      <c r="A31" s="333"/>
      <c r="B31" s="333"/>
      <c r="C31" s="333"/>
      <c r="D31" s="333"/>
    </row>
  </sheetData>
  <sheetProtection selectLockedCells="1"/>
  <mergeCells count="16">
    <mergeCell ref="A8:D8"/>
    <mergeCell ref="A13:D13"/>
    <mergeCell ref="C22:D22"/>
    <mergeCell ref="A5:D5"/>
    <mergeCell ref="A6:D6"/>
    <mergeCell ref="A7:D7"/>
    <mergeCell ref="A12:D12"/>
    <mergeCell ref="C21:D21"/>
    <mergeCell ref="B25:D25"/>
    <mergeCell ref="A31:D31"/>
    <mergeCell ref="A9:D9"/>
    <mergeCell ref="A10:D10"/>
    <mergeCell ref="A11:D11"/>
    <mergeCell ref="A17:D17"/>
    <mergeCell ref="B19:D19"/>
    <mergeCell ref="B26:D26"/>
  </mergeCells>
  <phoneticPr fontId="0" type="noConversion"/>
  <printOptions horizontalCentered="1"/>
  <pageMargins left="0.39370078740157483" right="0.39370078740157483" top="0.78740157480314965" bottom="0.78740157480314965" header="0.51181102362204722" footer="0.51181102362204722"/>
  <pageSetup paperSize="9" scale="43" orientation="landscape" r:id="rId1"/>
  <headerFooter alignWithMargins="0"/>
  <ignoredErrors>
    <ignoredError sqref="I23" formula="1"/>
  </ignoredErrors>
</worksheet>
</file>

<file path=xl/worksheets/sheet4.xml><?xml version="1.0" encoding="utf-8"?>
<worksheet xmlns="http://schemas.openxmlformats.org/spreadsheetml/2006/main" xmlns:r="http://schemas.openxmlformats.org/officeDocument/2006/relationships">
  <sheetPr codeName="Plan4"/>
  <dimension ref="A1:BK235"/>
  <sheetViews>
    <sheetView workbookViewId="0">
      <selection activeCell="C6" sqref="C6"/>
    </sheetView>
  </sheetViews>
  <sheetFormatPr defaultRowHeight="12.75"/>
  <cols>
    <col min="1" max="1" width="27.85546875" style="50" bestFit="1" customWidth="1"/>
    <col min="2" max="2" width="19.85546875" style="50" customWidth="1"/>
    <col min="3" max="63" width="9.140625" style="50" customWidth="1"/>
  </cols>
  <sheetData>
    <row r="1" spans="1:4" s="50" customFormat="1">
      <c r="A1" s="347" t="s">
        <v>40</v>
      </c>
      <c r="B1" s="347"/>
    </row>
    <row r="2" spans="1:4" s="50" customFormat="1">
      <c r="A2" s="47" t="s">
        <v>41</v>
      </c>
      <c r="B2" s="66">
        <f>'Control Pannel'!F30</f>
        <v>159607</v>
      </c>
    </row>
    <row r="3" spans="1:4" s="50" customFormat="1">
      <c r="A3" s="47" t="s">
        <v>42</v>
      </c>
      <c r="B3" s="47">
        <v>0.3095</v>
      </c>
      <c r="C3" s="188">
        <v>2010</v>
      </c>
    </row>
    <row r="4" spans="1:4" s="50" customFormat="1">
      <c r="A4" s="47" t="s">
        <v>99</v>
      </c>
      <c r="B4" s="48">
        <f>B2*B3</f>
        <v>49398.366499999996</v>
      </c>
    </row>
    <row r="5" spans="1:4" s="50" customFormat="1">
      <c r="A5" s="47" t="s">
        <v>43</v>
      </c>
      <c r="B5" s="187">
        <f>15.4/B9</f>
        <v>7.0642201834862384</v>
      </c>
      <c r="C5" s="228" t="s">
        <v>108</v>
      </c>
      <c r="D5" s="229" t="s">
        <v>110</v>
      </c>
    </row>
    <row r="6" spans="1:4" s="50" customFormat="1">
      <c r="A6" s="47" t="s">
        <v>44</v>
      </c>
      <c r="B6" s="49">
        <v>0.02</v>
      </c>
      <c r="C6" s="189" t="s">
        <v>115</v>
      </c>
    </row>
    <row r="7" spans="1:4" s="50" customFormat="1">
      <c r="A7" s="47" t="s">
        <v>77</v>
      </c>
      <c r="B7" s="49">
        <v>0.08</v>
      </c>
      <c r="C7" s="50" t="s">
        <v>109</v>
      </c>
    </row>
    <row r="8" spans="1:4" s="50" customFormat="1">
      <c r="A8" s="47" t="s">
        <v>45</v>
      </c>
      <c r="B8" s="48">
        <f>B4*B5*(100%-B6-B7)</f>
        <v>314064.8438944954</v>
      </c>
    </row>
    <row r="9" spans="1:4" s="50" customFormat="1">
      <c r="A9" s="47" t="s">
        <v>79</v>
      </c>
      <c r="B9" s="187">
        <v>2.1800000000000002</v>
      </c>
      <c r="C9" s="220" t="s">
        <v>100</v>
      </c>
    </row>
    <row r="10" spans="1:4" s="50" customFormat="1">
      <c r="A10" s="67" t="s">
        <v>46</v>
      </c>
      <c r="B10" s="68">
        <f>B8*B9</f>
        <v>684661.35969000007</v>
      </c>
    </row>
    <row r="11" spans="1:4" s="50" customFormat="1"/>
    <row r="12" spans="1:4" s="50" customFormat="1"/>
    <row r="13" spans="1:4" s="50" customFormat="1"/>
    <row r="14" spans="1:4" s="50" customFormat="1"/>
    <row r="15" spans="1:4" s="50" customFormat="1"/>
    <row r="16" spans="1:4" s="50" customFormat="1"/>
    <row r="17" s="50" customFormat="1"/>
    <row r="18" s="50" customFormat="1"/>
    <row r="19" s="50" customFormat="1"/>
    <row r="20" s="50" customFormat="1"/>
    <row r="21" s="50" customFormat="1"/>
    <row r="22" s="50" customFormat="1"/>
    <row r="23" s="50" customFormat="1"/>
    <row r="24" s="50" customFormat="1"/>
    <row r="25" s="50" customFormat="1"/>
    <row r="26" s="50" customFormat="1"/>
    <row r="27" s="50" customFormat="1"/>
    <row r="28" s="50" customFormat="1"/>
    <row r="29" s="50" customFormat="1"/>
    <row r="30" s="50" customFormat="1"/>
    <row r="31" s="50" customFormat="1"/>
    <row r="32" s="50" customFormat="1"/>
    <row r="33" s="50" customFormat="1"/>
    <row r="34" s="50" customFormat="1"/>
    <row r="35" s="50" customFormat="1"/>
    <row r="36" s="50" customFormat="1"/>
    <row r="37" s="50" customFormat="1"/>
    <row r="38" s="50" customFormat="1"/>
    <row r="39" s="50" customFormat="1"/>
    <row r="40" s="50" customFormat="1"/>
    <row r="41" s="50" customFormat="1"/>
    <row r="42" s="50" customFormat="1"/>
    <row r="43" s="50" customFormat="1"/>
    <row r="44" s="50" customFormat="1"/>
    <row r="45" s="50" customFormat="1"/>
    <row r="46" s="50" customFormat="1"/>
    <row r="47" s="50" customFormat="1"/>
    <row r="48" s="50" customFormat="1"/>
    <row r="49" s="50" customFormat="1"/>
    <row r="50" s="50" customFormat="1"/>
    <row r="51" s="50" customFormat="1"/>
    <row r="52" s="50" customFormat="1"/>
    <row r="53" s="50" customFormat="1"/>
    <row r="54" s="50" customFormat="1"/>
    <row r="55" s="50" customFormat="1"/>
    <row r="56" s="50" customFormat="1"/>
    <row r="57" s="50" customFormat="1"/>
    <row r="58" s="50" customFormat="1"/>
    <row r="59" s="50" customFormat="1"/>
    <row r="60" s="50" customFormat="1"/>
    <row r="61" s="50" customFormat="1"/>
    <row r="62" s="50" customFormat="1"/>
    <row r="63" s="50" customFormat="1"/>
    <row r="64" s="50" customFormat="1"/>
    <row r="65" s="50" customFormat="1"/>
    <row r="66" s="50" customFormat="1"/>
    <row r="67" s="50" customFormat="1"/>
    <row r="68" s="50" customFormat="1"/>
    <row r="69" s="50" customFormat="1"/>
    <row r="70" s="50" customFormat="1"/>
    <row r="71" s="50" customFormat="1"/>
    <row r="72" s="50" customFormat="1"/>
    <row r="73" s="50" customFormat="1"/>
    <row r="74" s="50" customFormat="1"/>
    <row r="75" s="50" customFormat="1"/>
    <row r="76" s="50" customFormat="1"/>
    <row r="77" s="50" customFormat="1"/>
    <row r="78" s="50" customFormat="1"/>
    <row r="79" s="50" customFormat="1"/>
    <row r="80" s="50" customFormat="1"/>
    <row r="81" s="50" customFormat="1"/>
    <row r="82" s="50" customFormat="1"/>
    <row r="83" s="50" customFormat="1"/>
    <row r="84" s="50" customFormat="1"/>
    <row r="85" s="50" customFormat="1"/>
    <row r="86" s="50" customFormat="1"/>
    <row r="87" s="50" customFormat="1"/>
    <row r="88" s="50" customFormat="1"/>
    <row r="89" s="50" customFormat="1"/>
    <row r="90" s="50" customFormat="1"/>
    <row r="91" s="50" customFormat="1"/>
    <row r="92" s="50" customFormat="1"/>
    <row r="93" s="50" customFormat="1"/>
    <row r="94" s="50" customFormat="1"/>
    <row r="95" s="50" customFormat="1"/>
    <row r="96" s="50" customFormat="1"/>
    <row r="97" s="50" customFormat="1"/>
    <row r="98" s="50" customFormat="1"/>
    <row r="99" s="50" customFormat="1"/>
    <row r="100" s="50" customFormat="1"/>
    <row r="101" s="50" customFormat="1"/>
    <row r="102" s="50" customFormat="1"/>
    <row r="103" s="50" customFormat="1"/>
    <row r="104" s="50" customFormat="1"/>
    <row r="105" s="50" customFormat="1"/>
    <row r="106" s="50" customFormat="1"/>
    <row r="107" s="50" customFormat="1"/>
    <row r="108" s="50" customFormat="1"/>
    <row r="109" s="50" customFormat="1"/>
    <row r="110" s="50" customFormat="1"/>
    <row r="111" s="50" customFormat="1"/>
    <row r="112" s="50" customFormat="1"/>
    <row r="113" s="50" customFormat="1"/>
    <row r="114" s="50" customFormat="1"/>
    <row r="115" s="50" customFormat="1"/>
    <row r="116" s="50" customFormat="1"/>
    <row r="117" s="50" customFormat="1"/>
    <row r="118" s="50" customFormat="1"/>
    <row r="119" s="50" customFormat="1"/>
    <row r="120" s="50" customFormat="1"/>
    <row r="121" s="50" customFormat="1"/>
    <row r="122" s="50" customFormat="1"/>
    <row r="123" s="50" customFormat="1"/>
    <row r="124" s="50" customFormat="1"/>
    <row r="125" s="50" customFormat="1"/>
    <row r="126" s="50" customFormat="1"/>
    <row r="127" s="50" customFormat="1"/>
    <row r="128" s="50" customFormat="1"/>
    <row r="129" s="50" customFormat="1"/>
    <row r="130" s="50" customFormat="1"/>
    <row r="131" s="50" customFormat="1"/>
    <row r="132" s="50" customFormat="1"/>
    <row r="133" s="50" customFormat="1"/>
    <row r="134" s="50" customFormat="1"/>
    <row r="135" s="50" customFormat="1"/>
    <row r="136" s="50" customFormat="1"/>
    <row r="137" s="50" customFormat="1"/>
    <row r="138" s="50" customFormat="1"/>
    <row r="139" s="50" customFormat="1"/>
    <row r="140" s="50" customFormat="1"/>
    <row r="141" s="50" customFormat="1"/>
    <row r="142" s="50" customFormat="1"/>
    <row r="143" s="50" customFormat="1"/>
    <row r="144" s="50" customFormat="1"/>
    <row r="145" s="50" customFormat="1"/>
    <row r="146" s="50" customFormat="1"/>
    <row r="147" s="50" customFormat="1"/>
    <row r="148" s="50" customFormat="1"/>
    <row r="149" s="50" customFormat="1"/>
    <row r="150" s="50" customFormat="1"/>
    <row r="151" s="50" customFormat="1"/>
    <row r="152" s="50" customFormat="1"/>
    <row r="153" s="50" customFormat="1"/>
    <row r="154" s="50" customFormat="1"/>
    <row r="155" s="50" customFormat="1"/>
    <row r="156" s="50" customFormat="1"/>
    <row r="157" s="50" customFormat="1"/>
    <row r="158" s="50" customFormat="1"/>
    <row r="159" s="50" customFormat="1"/>
    <row r="160" s="50" customFormat="1"/>
    <row r="161" s="50" customFormat="1"/>
    <row r="162" s="50" customFormat="1"/>
    <row r="163" s="50" customFormat="1"/>
    <row r="164" s="50" customFormat="1"/>
    <row r="165" s="50" customFormat="1"/>
    <row r="166" s="50" customFormat="1"/>
    <row r="167" s="50" customFormat="1"/>
    <row r="168" s="50" customFormat="1"/>
    <row r="169" s="50" customFormat="1"/>
    <row r="170" s="50" customFormat="1"/>
    <row r="171" s="50" customFormat="1"/>
    <row r="172" s="50" customFormat="1"/>
    <row r="173" s="50" customFormat="1"/>
    <row r="174" s="50" customFormat="1"/>
    <row r="175" s="50" customFormat="1"/>
    <row r="176" s="50" customFormat="1"/>
    <row r="177" s="50" customFormat="1"/>
    <row r="178" s="50" customFormat="1"/>
    <row r="179" s="50" customFormat="1"/>
    <row r="180" s="50" customFormat="1"/>
    <row r="181" s="50" customFormat="1"/>
    <row r="182" s="50" customFormat="1"/>
    <row r="183" s="50" customFormat="1"/>
    <row r="184" s="50" customFormat="1"/>
    <row r="185" s="50" customFormat="1"/>
    <row r="186" s="50" customFormat="1"/>
    <row r="187" s="50" customFormat="1"/>
    <row r="188" s="50" customFormat="1"/>
    <row r="189" s="50" customFormat="1"/>
    <row r="190" s="50" customFormat="1"/>
    <row r="191" s="50" customFormat="1"/>
    <row r="192" s="50" customFormat="1"/>
    <row r="193" s="50" customFormat="1"/>
    <row r="194" s="50" customFormat="1"/>
    <row r="195" s="50" customFormat="1"/>
    <row r="196" s="50" customFormat="1"/>
    <row r="197" s="50" customFormat="1"/>
    <row r="198" s="50" customFormat="1"/>
    <row r="199" s="50" customFormat="1"/>
    <row r="200" s="50" customFormat="1"/>
    <row r="201" s="50" customFormat="1"/>
    <row r="202" s="50" customFormat="1"/>
    <row r="203" s="50" customFormat="1"/>
    <row r="204" s="50" customFormat="1"/>
    <row r="205" s="50" customFormat="1"/>
    <row r="206" s="50" customFormat="1"/>
    <row r="207" s="50" customFormat="1"/>
    <row r="208" s="50" customFormat="1"/>
    <row r="209" s="50" customFormat="1"/>
    <row r="210" s="50" customFormat="1"/>
    <row r="211" s="50" customFormat="1"/>
    <row r="212" s="50" customFormat="1"/>
    <row r="213" s="50" customFormat="1"/>
    <row r="214" s="50" customFormat="1"/>
    <row r="215" s="50" customFormat="1"/>
    <row r="216" s="50" customFormat="1"/>
    <row r="217" s="50" customFormat="1"/>
    <row r="218" s="50" customFormat="1"/>
    <row r="219" s="50" customFormat="1"/>
    <row r="220" s="50" customFormat="1"/>
    <row r="221" s="50" customFormat="1"/>
    <row r="222" s="50" customFormat="1"/>
    <row r="223" s="50" customFormat="1"/>
    <row r="224" s="50" customFormat="1"/>
    <row r="225" s="50" customFormat="1"/>
    <row r="226" s="50" customFormat="1"/>
    <row r="227" s="50" customFormat="1"/>
    <row r="228" s="50" customFormat="1"/>
    <row r="229" s="50" customFormat="1"/>
    <row r="230" s="50" customFormat="1"/>
    <row r="231" s="50" customFormat="1"/>
    <row r="232" s="50" customFormat="1"/>
    <row r="233" s="50" customFormat="1"/>
    <row r="234" s="50" customFormat="1"/>
    <row r="235" s="50" customFormat="1"/>
  </sheetData>
  <mergeCells count="1">
    <mergeCell ref="A1:B1"/>
  </mergeCells>
  <hyperlinks>
    <hyperlink ref="C9" r:id="rId1"/>
    <hyperlink ref="C3" r:id="rId2" location="ancora" display="http://www.mct.gov.br/index.php/content/view/327118.html - ancora"/>
    <hyperlink ref="C5" r:id="rId3"/>
  </hyperlinks>
  <pageMargins left="0.511811024" right="0.511811024" top="0.78740157499999996" bottom="0.78740157499999996" header="0.31496062000000002" footer="0.31496062000000002"/>
  <pageSetup paperSize="9" orientation="portrait" r:id="rId4"/>
</worksheet>
</file>

<file path=xl/worksheets/sheet5.xml><?xml version="1.0" encoding="utf-8"?>
<worksheet xmlns="http://schemas.openxmlformats.org/spreadsheetml/2006/main" xmlns:r="http://schemas.openxmlformats.org/officeDocument/2006/relationships">
  <sheetPr codeName="Plan5"/>
  <dimension ref="A1:BI290"/>
  <sheetViews>
    <sheetView topLeftCell="A25" workbookViewId="0">
      <selection activeCell="F35" sqref="F35"/>
    </sheetView>
  </sheetViews>
  <sheetFormatPr defaultRowHeight="12.75"/>
  <cols>
    <col min="1" max="1" width="9.28515625" bestFit="1" customWidth="1"/>
    <col min="2" max="2" width="7.28515625" bestFit="1" customWidth="1"/>
    <col min="3" max="3" width="17.42578125" customWidth="1"/>
    <col min="4" max="4" width="16" bestFit="1" customWidth="1"/>
    <col min="5" max="5" width="11.28515625" style="50" bestFit="1" customWidth="1"/>
    <col min="6" max="7" width="9.140625" style="50" customWidth="1"/>
    <col min="8" max="8" width="8.7109375" style="50" bestFit="1" customWidth="1"/>
    <col min="9" max="9" width="14" style="50" bestFit="1" customWidth="1"/>
    <col min="10" max="61" width="9.140625" style="50" customWidth="1"/>
  </cols>
  <sheetData>
    <row r="1" spans="1:5">
      <c r="A1" s="348" t="s">
        <v>5</v>
      </c>
      <c r="B1" s="348"/>
      <c r="C1" s="348"/>
      <c r="D1" s="50"/>
    </row>
    <row r="2" spans="1:5">
      <c r="A2" s="55" t="s">
        <v>7</v>
      </c>
      <c r="B2" s="55" t="s">
        <v>8</v>
      </c>
      <c r="C2" s="55" t="s">
        <v>3</v>
      </c>
      <c r="D2" s="50">
        <v>1</v>
      </c>
    </row>
    <row r="3" spans="1:5" s="189" customFormat="1">
      <c r="A3" s="190">
        <v>-0.2175</v>
      </c>
      <c r="B3" s="190">
        <v>0.1036</v>
      </c>
      <c r="C3" s="61">
        <f>$C$7+($C$7*A3)</f>
        <v>124405942.04879807</v>
      </c>
      <c r="D3" s="349"/>
    </row>
    <row r="4" spans="1:5">
      <c r="A4" s="57">
        <v>-0.2</v>
      </c>
      <c r="B4" s="58">
        <v>0.1003</v>
      </c>
      <c r="C4" s="59">
        <f>$C$7+($C$7*A4)</f>
        <v>127188183.5642664</v>
      </c>
      <c r="D4" s="221"/>
    </row>
    <row r="5" spans="1:5">
      <c r="A5" s="57">
        <v>-0.1</v>
      </c>
      <c r="B5" s="58">
        <v>8.3500000000000005E-2</v>
      </c>
      <c r="C5" s="59">
        <f>$C$7+($C$7*A5)</f>
        <v>143086706.50979969</v>
      </c>
      <c r="D5" s="243"/>
      <c r="E5" s="65"/>
    </row>
    <row r="6" spans="1:5">
      <c r="A6" s="57">
        <v>-0.05</v>
      </c>
      <c r="B6" s="58">
        <v>7.6100000000000001E-2</v>
      </c>
      <c r="C6" s="59">
        <f>$C$7+($C$7*A6)</f>
        <v>151035967.98256636</v>
      </c>
      <c r="D6" s="156"/>
      <c r="E6" s="51"/>
    </row>
    <row r="7" spans="1:5">
      <c r="A7" s="57">
        <v>0</v>
      </c>
      <c r="B7" s="58">
        <f>'Cash Flow'!B25:D25</f>
        <v>6.9185662512983415E-2</v>
      </c>
      <c r="C7" s="59">
        <f>'Control Pannel'!C5</f>
        <v>158985229.45533299</v>
      </c>
      <c r="D7" s="51"/>
    </row>
    <row r="8" spans="1:5">
      <c r="A8" s="57">
        <v>0.05</v>
      </c>
      <c r="B8" s="58">
        <v>6.2799999999999995E-2</v>
      </c>
      <c r="C8" s="59">
        <f>$C$7+($C$7*A8)</f>
        <v>166934490.92809963</v>
      </c>
      <c r="D8" s="186" t="s">
        <v>78</v>
      </c>
    </row>
    <row r="9" spans="1:5">
      <c r="A9" s="57">
        <v>0.1</v>
      </c>
      <c r="B9" s="58">
        <v>5.6800000000000003E-2</v>
      </c>
      <c r="C9" s="59">
        <f>$C$7+($C$7*A9)</f>
        <v>174883752.4008663</v>
      </c>
      <c r="D9" s="50"/>
    </row>
    <row r="10" spans="1:5">
      <c r="A10" s="57">
        <v>0.2</v>
      </c>
      <c r="B10" s="64">
        <v>4.5999999999999999E-2</v>
      </c>
      <c r="C10" s="59">
        <f>$C$7+($C$7*A10)</f>
        <v>190782275.34639961</v>
      </c>
      <c r="D10" s="50"/>
    </row>
    <row r="11" spans="1:5">
      <c r="A11" s="62"/>
      <c r="B11" s="62"/>
      <c r="C11" s="62"/>
      <c r="D11" s="50"/>
    </row>
    <row r="12" spans="1:5">
      <c r="A12" s="348" t="s">
        <v>47</v>
      </c>
      <c r="B12" s="348"/>
      <c r="C12" s="348"/>
      <c r="D12" s="50">
        <v>1</v>
      </c>
    </row>
    <row r="13" spans="1:5" s="189" customFormat="1">
      <c r="A13" s="55" t="s">
        <v>7</v>
      </c>
      <c r="B13" s="55" t="s">
        <v>8</v>
      </c>
      <c r="C13" s="55" t="s">
        <v>3</v>
      </c>
    </row>
    <row r="14" spans="1:5">
      <c r="A14" s="191">
        <v>-1</v>
      </c>
      <c r="B14" s="190">
        <v>7.7700000000000005E-2</v>
      </c>
      <c r="C14" s="61">
        <f>$C$18+($C$18*A14)</f>
        <v>0</v>
      </c>
      <c r="D14" s="65"/>
    </row>
    <row r="15" spans="1:5">
      <c r="A15" s="57">
        <v>-0.2</v>
      </c>
      <c r="B15" s="58">
        <v>7.0900000000000005E-2</v>
      </c>
      <c r="C15" s="59">
        <f>$C$18+($C$18*A15)</f>
        <v>5.6</v>
      </c>
      <c r="D15" s="50"/>
    </row>
    <row r="16" spans="1:5">
      <c r="A16" s="57">
        <v>-0.1</v>
      </c>
      <c r="B16" s="58">
        <v>7.0099999999999996E-2</v>
      </c>
      <c r="C16" s="59">
        <f>$C$18+($C$18*A16)</f>
        <v>6.3</v>
      </c>
      <c r="D16" s="50"/>
    </row>
    <row r="17" spans="1:4">
      <c r="A17" s="57">
        <v>-0.05</v>
      </c>
      <c r="B17" s="58">
        <v>6.9599999999999995E-2</v>
      </c>
      <c r="C17" s="59">
        <f>$C$18+($C$18*A17)</f>
        <v>6.65</v>
      </c>
      <c r="D17" s="50"/>
    </row>
    <row r="18" spans="1:4">
      <c r="A18" s="57">
        <v>0</v>
      </c>
      <c r="B18" s="58">
        <f>'Cash Flow'!B25:D25</f>
        <v>6.9185662512983415E-2</v>
      </c>
      <c r="C18" s="59">
        <f>'Control Pannel'!F39</f>
        <v>7</v>
      </c>
      <c r="D18" s="50"/>
    </row>
    <row r="19" spans="1:4">
      <c r="A19" s="57">
        <v>0.05</v>
      </c>
      <c r="B19" s="58">
        <v>6.88E-2</v>
      </c>
      <c r="C19" s="59">
        <f>$C$18+($C$18*A19)</f>
        <v>7.35</v>
      </c>
      <c r="D19" s="50"/>
    </row>
    <row r="20" spans="1:4">
      <c r="A20" s="57">
        <v>0.1</v>
      </c>
      <c r="B20" s="58">
        <v>6.83E-2</v>
      </c>
      <c r="C20" s="59">
        <f>$C$18+($C$18*A20)</f>
        <v>7.7</v>
      </c>
      <c r="D20" s="50"/>
    </row>
    <row r="21" spans="1:4">
      <c r="A21" s="57">
        <v>0.2</v>
      </c>
      <c r="B21" s="58">
        <v>6.7400000000000002E-2</v>
      </c>
      <c r="C21" s="59">
        <f>$C$18+($C$18*A21)</f>
        <v>8.4</v>
      </c>
      <c r="D21" s="50"/>
    </row>
    <row r="22" spans="1:4">
      <c r="A22" s="62"/>
      <c r="B22" s="62"/>
      <c r="C22" s="62"/>
    </row>
    <row r="23" spans="1:4">
      <c r="A23" s="348" t="s">
        <v>48</v>
      </c>
      <c r="B23" s="348"/>
      <c r="C23" s="348"/>
      <c r="D23" s="50">
        <v>1</v>
      </c>
    </row>
    <row r="24" spans="1:4">
      <c r="A24" s="55" t="s">
        <v>7</v>
      </c>
      <c r="B24" s="55" t="s">
        <v>8</v>
      </c>
      <c r="C24" s="55" t="s">
        <v>3</v>
      </c>
      <c r="D24" s="221"/>
    </row>
    <row r="25" spans="1:4">
      <c r="A25" s="57">
        <v>-0.2</v>
      </c>
      <c r="B25" s="58">
        <v>3.8399999999999997E-2</v>
      </c>
      <c r="C25" s="59">
        <f>$C$28+($C$28*A25)</f>
        <v>100</v>
      </c>
      <c r="D25" s="50"/>
    </row>
    <row r="26" spans="1:4">
      <c r="A26" s="57">
        <v>-0.1</v>
      </c>
      <c r="B26" s="58">
        <v>5.4300000000000001E-2</v>
      </c>
      <c r="C26" s="59">
        <f>$C$28+($C$28*A26)</f>
        <v>112.5</v>
      </c>
      <c r="D26" s="50"/>
    </row>
    <row r="27" spans="1:4">
      <c r="A27" s="57">
        <v>-0.05</v>
      </c>
      <c r="B27" s="58">
        <v>6.1899999999999997E-2</v>
      </c>
      <c r="C27" s="59">
        <f>$C$28+($C$28*A27)</f>
        <v>118.75</v>
      </c>
      <c r="D27" s="50"/>
    </row>
    <row r="28" spans="1:4">
      <c r="A28" s="57">
        <v>0</v>
      </c>
      <c r="B28" s="58">
        <f>'Cash Flow'!B25:D25</f>
        <v>6.9185662512983415E-2</v>
      </c>
      <c r="C28" s="59">
        <f>'Control Pannel'!F31</f>
        <v>125</v>
      </c>
      <c r="D28" s="50"/>
    </row>
    <row r="29" spans="1:4">
      <c r="A29" s="57">
        <v>0.05</v>
      </c>
      <c r="B29" s="58">
        <v>7.6300000000000007E-2</v>
      </c>
      <c r="C29" s="59">
        <f>$C$28+($C$28*A29)</f>
        <v>131.25</v>
      </c>
      <c r="D29" s="50"/>
    </row>
    <row r="30" spans="1:4">
      <c r="A30" s="57">
        <v>0.1</v>
      </c>
      <c r="B30" s="58">
        <v>8.3199999999999996E-2</v>
      </c>
      <c r="C30" s="59">
        <f>$C$28+($C$28*A30)</f>
        <v>137.5</v>
      </c>
      <c r="D30" s="65"/>
    </row>
    <row r="31" spans="1:4">
      <c r="A31" s="57">
        <v>0.2</v>
      </c>
      <c r="B31" s="58">
        <v>9.64E-2</v>
      </c>
      <c r="C31" s="59">
        <f>$C$28+($C$28*A31)</f>
        <v>150</v>
      </c>
      <c r="D31" s="65"/>
    </row>
    <row r="32" spans="1:4">
      <c r="A32" s="60">
        <v>0.25600000000000001</v>
      </c>
      <c r="B32" s="60">
        <v>0.1036</v>
      </c>
      <c r="C32" s="61">
        <f>$C$28+($C$28*A32)</f>
        <v>157</v>
      </c>
      <c r="D32" s="65"/>
    </row>
    <row r="33" spans="1:5">
      <c r="A33" s="62"/>
      <c r="B33" s="62"/>
      <c r="C33" s="62"/>
    </row>
    <row r="34" spans="1:5">
      <c r="A34" s="348" t="s">
        <v>6</v>
      </c>
      <c r="B34" s="348"/>
      <c r="C34" s="348"/>
      <c r="D34" s="50">
        <v>1</v>
      </c>
    </row>
    <row r="35" spans="1:5">
      <c r="A35" s="55" t="s">
        <v>7</v>
      </c>
      <c r="B35" s="55" t="s">
        <v>8</v>
      </c>
      <c r="C35" s="55" t="s">
        <v>25</v>
      </c>
      <c r="D35" s="242"/>
    </row>
    <row r="36" spans="1:5">
      <c r="A36" s="57">
        <v>-0.2</v>
      </c>
      <c r="B36" s="56">
        <v>4.0500000000000001E-2</v>
      </c>
      <c r="C36" s="59">
        <f>$C$39+($C$39*A36)</f>
        <v>127685.6</v>
      </c>
      <c r="D36" s="50"/>
    </row>
    <row r="37" spans="1:5">
      <c r="A37" s="57">
        <v>-0.1</v>
      </c>
      <c r="B37" s="58">
        <v>5.5300000000000002E-2</v>
      </c>
      <c r="C37" s="59">
        <f>$C$39+($C$39*A37)</f>
        <v>143646.29999999999</v>
      </c>
      <c r="D37" s="50"/>
      <c r="E37" s="51"/>
    </row>
    <row r="38" spans="1:5">
      <c r="A38" s="57">
        <v>-0.05</v>
      </c>
      <c r="B38" s="58">
        <v>6.2300000000000001E-2</v>
      </c>
      <c r="C38" s="59">
        <f>$C$39+($C$39*A38)</f>
        <v>151626.65</v>
      </c>
      <c r="D38" s="50"/>
    </row>
    <row r="39" spans="1:5" s="50" customFormat="1">
      <c r="A39" s="57">
        <v>0</v>
      </c>
      <c r="B39" s="58">
        <f>'Cash Flow'!B25:D25</f>
        <v>6.9185662512983415E-2</v>
      </c>
      <c r="C39" s="63">
        <f>'Control Pannel'!F30</f>
        <v>159607</v>
      </c>
    </row>
    <row r="40" spans="1:5" s="50" customFormat="1">
      <c r="A40" s="57">
        <v>0.05</v>
      </c>
      <c r="B40" s="58">
        <v>7.5800000000000006E-2</v>
      </c>
      <c r="C40" s="59">
        <f>$C$39+($C$39*A40)</f>
        <v>167587.35</v>
      </c>
    </row>
    <row r="41" spans="1:5" s="50" customFormat="1">
      <c r="A41" s="57">
        <v>0.1</v>
      </c>
      <c r="B41" s="58">
        <v>8.2299999999999998E-2</v>
      </c>
      <c r="C41" s="59">
        <f>$C$39+($C$39*A41)</f>
        <v>175567.7</v>
      </c>
      <c r="D41" s="65"/>
    </row>
    <row r="42" spans="1:5" s="50" customFormat="1">
      <c r="A42" s="57">
        <v>0.2</v>
      </c>
      <c r="B42" s="58">
        <v>9.4799999999999995E-2</v>
      </c>
      <c r="C42" s="59">
        <f>$C$39+($C$39*A42)</f>
        <v>191528.4</v>
      </c>
      <c r="D42" s="65"/>
    </row>
    <row r="43" spans="1:5" s="50" customFormat="1">
      <c r="A43" s="244">
        <v>0.27350000000000002</v>
      </c>
      <c r="B43" s="244">
        <v>0.1036</v>
      </c>
      <c r="C43" s="61">
        <f>$C$39+($C$39*A43)</f>
        <v>203259.51449999999</v>
      </c>
    </row>
    <row r="44" spans="1:5" s="50" customFormat="1"/>
    <row r="45" spans="1:5" s="50" customFormat="1"/>
    <row r="46" spans="1:5" s="50" customFormat="1"/>
    <row r="47" spans="1:5" s="50" customFormat="1"/>
    <row r="48" spans="1:5" s="50" customFormat="1"/>
    <row r="49" s="50" customFormat="1"/>
    <row r="50" s="50" customFormat="1"/>
    <row r="51" s="50" customFormat="1"/>
    <row r="52" s="50" customFormat="1"/>
    <row r="53" s="50" customFormat="1"/>
    <row r="54" s="50" customFormat="1"/>
    <row r="55" s="50" customFormat="1"/>
    <row r="56" s="50" customFormat="1"/>
    <row r="57" s="50" customFormat="1"/>
    <row r="58" s="50" customFormat="1"/>
    <row r="59" s="50" customFormat="1"/>
    <row r="60" s="50" customFormat="1"/>
    <row r="61" s="50" customFormat="1"/>
    <row r="62" s="50" customFormat="1"/>
    <row r="63" s="50" customFormat="1"/>
    <row r="64" s="50" customFormat="1"/>
    <row r="65" s="50" customFormat="1"/>
    <row r="66" s="50" customFormat="1"/>
    <row r="67" s="50" customFormat="1"/>
    <row r="68" s="50" customFormat="1"/>
    <row r="69" s="50" customFormat="1"/>
    <row r="70" s="50" customFormat="1"/>
    <row r="71" s="50" customFormat="1"/>
    <row r="72" s="50" customFormat="1"/>
    <row r="73" s="50" customFormat="1"/>
    <row r="74" s="50" customFormat="1"/>
    <row r="75" s="50" customFormat="1"/>
    <row r="76" s="50" customFormat="1"/>
    <row r="77" s="50" customFormat="1"/>
    <row r="78" s="50" customFormat="1"/>
    <row r="79" s="50" customFormat="1"/>
    <row r="80" s="50" customFormat="1"/>
    <row r="81" s="50" customFormat="1"/>
    <row r="82" s="50" customFormat="1"/>
    <row r="83" s="50" customFormat="1"/>
    <row r="84" s="50" customFormat="1"/>
    <row r="85" s="50" customFormat="1"/>
    <row r="86" s="50" customFormat="1"/>
    <row r="87" s="50" customFormat="1"/>
    <row r="88" s="50" customFormat="1"/>
    <row r="89" s="50" customFormat="1"/>
    <row r="90" s="50" customFormat="1"/>
    <row r="91" s="50" customFormat="1"/>
    <row r="92" s="50" customFormat="1"/>
    <row r="93" s="50" customFormat="1"/>
    <row r="94" s="50" customFormat="1"/>
    <row r="95" s="50" customFormat="1"/>
    <row r="96" s="50" customFormat="1"/>
    <row r="97" s="50" customFormat="1"/>
    <row r="98" s="50" customFormat="1"/>
    <row r="99" s="50" customFormat="1"/>
    <row r="100" s="50" customFormat="1"/>
    <row r="101" s="50" customFormat="1"/>
    <row r="102" s="50" customFormat="1"/>
    <row r="103" s="50" customFormat="1"/>
    <row r="104" s="50" customFormat="1"/>
    <row r="105" s="50" customFormat="1"/>
    <row r="106" s="50" customFormat="1"/>
    <row r="107" s="50" customFormat="1"/>
    <row r="108" s="50" customFormat="1"/>
    <row r="109" s="50" customFormat="1"/>
    <row r="110" s="50" customFormat="1"/>
    <row r="111" s="50" customFormat="1"/>
    <row r="112" s="50" customFormat="1"/>
    <row r="113" s="50" customFormat="1"/>
    <row r="114" s="50" customFormat="1"/>
    <row r="115" s="50" customFormat="1"/>
    <row r="116" s="50" customFormat="1"/>
    <row r="117" s="50" customFormat="1"/>
    <row r="118" s="50" customFormat="1"/>
    <row r="119" s="50" customFormat="1"/>
    <row r="120" s="50" customFormat="1"/>
    <row r="121" s="50" customFormat="1"/>
    <row r="122" s="50" customFormat="1"/>
    <row r="123" s="50" customFormat="1"/>
    <row r="124" s="50" customFormat="1"/>
    <row r="125" s="50" customFormat="1"/>
    <row r="126" s="50" customFormat="1"/>
    <row r="127" s="50" customFormat="1"/>
    <row r="128" s="50" customFormat="1"/>
    <row r="129" s="50" customFormat="1"/>
    <row r="130" s="50" customFormat="1"/>
    <row r="131" s="50" customFormat="1"/>
    <row r="132" s="50" customFormat="1"/>
    <row r="133" s="50" customFormat="1"/>
    <row r="134" s="50" customFormat="1"/>
    <row r="135" s="50" customFormat="1"/>
    <row r="136" s="50" customFormat="1"/>
    <row r="137" s="50" customFormat="1"/>
    <row r="138" s="50" customFormat="1"/>
    <row r="139" s="50" customFormat="1"/>
    <row r="140" s="50" customFormat="1"/>
    <row r="141" s="50" customFormat="1"/>
    <row r="142" s="50" customFormat="1"/>
    <row r="143" s="50" customFormat="1"/>
    <row r="144" s="50" customFormat="1"/>
    <row r="145" s="50" customFormat="1"/>
    <row r="146" s="50" customFormat="1"/>
    <row r="147" s="50" customFormat="1"/>
    <row r="148" s="50" customFormat="1"/>
    <row r="149" s="50" customFormat="1"/>
    <row r="150" s="50" customFormat="1"/>
    <row r="151" s="50" customFormat="1"/>
    <row r="152" s="50" customFormat="1"/>
    <row r="153" s="50" customFormat="1"/>
    <row r="154" s="50" customFormat="1"/>
    <row r="155" s="50" customFormat="1"/>
    <row r="156" s="50" customFormat="1"/>
    <row r="157" s="50" customFormat="1"/>
    <row r="158" s="50" customFormat="1"/>
    <row r="159" s="50" customFormat="1"/>
    <row r="160" s="50" customFormat="1"/>
    <row r="161" s="50" customFormat="1"/>
    <row r="162" s="50" customFormat="1"/>
    <row r="163" s="50" customFormat="1"/>
    <row r="164" s="50" customFormat="1"/>
    <row r="165" s="50" customFormat="1"/>
    <row r="166" s="50" customFormat="1"/>
    <row r="167" s="50" customFormat="1"/>
    <row r="168" s="50" customFormat="1"/>
    <row r="169" s="50" customFormat="1"/>
    <row r="170" s="50" customFormat="1"/>
    <row r="171" s="50" customFormat="1"/>
    <row r="172" s="50" customFormat="1"/>
    <row r="173" s="50" customFormat="1"/>
    <row r="174" s="50" customFormat="1"/>
    <row r="175" s="50" customFormat="1"/>
    <row r="176" s="50" customFormat="1"/>
    <row r="177" s="50" customFormat="1"/>
    <row r="178" s="50" customFormat="1"/>
    <row r="179" s="50" customFormat="1"/>
    <row r="180" s="50" customFormat="1"/>
    <row r="181" s="50" customFormat="1"/>
    <row r="182" s="50" customFormat="1"/>
    <row r="183" s="50" customFormat="1"/>
    <row r="184" s="50" customFormat="1"/>
    <row r="185" s="50" customFormat="1"/>
    <row r="186" s="50" customFormat="1"/>
    <row r="187" s="50" customFormat="1"/>
    <row r="188" s="50" customFormat="1"/>
    <row r="189" s="50" customFormat="1"/>
    <row r="190" s="50" customFormat="1"/>
    <row r="191" s="50" customFormat="1"/>
    <row r="192" s="50" customFormat="1"/>
    <row r="193" s="50" customFormat="1"/>
    <row r="194" s="50" customFormat="1"/>
    <row r="195" s="50" customFormat="1"/>
    <row r="196" s="50" customFormat="1"/>
    <row r="197" s="50" customFormat="1"/>
    <row r="198" s="50" customFormat="1"/>
    <row r="199" s="50" customFormat="1"/>
    <row r="200" s="50" customFormat="1"/>
    <row r="201" s="50" customFormat="1"/>
    <row r="202" s="50" customFormat="1"/>
    <row r="203" s="50" customFormat="1"/>
    <row r="204" s="50" customFormat="1"/>
    <row r="205" s="50" customFormat="1"/>
    <row r="206" s="50" customFormat="1"/>
    <row r="207" s="50" customFormat="1"/>
    <row r="208" s="50" customFormat="1"/>
    <row r="209" s="50" customFormat="1"/>
    <row r="210" s="50" customFormat="1"/>
    <row r="211" s="50" customFormat="1"/>
    <row r="212" s="50" customFormat="1"/>
    <row r="213" s="50" customFormat="1"/>
    <row r="214" s="50" customFormat="1"/>
    <row r="215" s="50" customFormat="1"/>
    <row r="216" s="50" customFormat="1"/>
    <row r="217" s="50" customFormat="1"/>
    <row r="218" s="50" customFormat="1"/>
    <row r="219" s="50" customFormat="1"/>
    <row r="220" s="50" customFormat="1"/>
    <row r="221" s="50" customFormat="1"/>
    <row r="222" s="50" customFormat="1"/>
    <row r="223" s="50" customFormat="1"/>
    <row r="224" s="50" customFormat="1"/>
    <row r="225" s="50" customFormat="1"/>
    <row r="226" s="50" customFormat="1"/>
    <row r="227" s="50" customFormat="1"/>
    <row r="228" s="50" customFormat="1"/>
    <row r="229" s="50" customFormat="1"/>
    <row r="230" s="50" customFormat="1"/>
    <row r="231" s="50" customFormat="1"/>
    <row r="232" s="50" customFormat="1"/>
    <row r="233" s="50" customFormat="1"/>
    <row r="234" s="50" customFormat="1"/>
    <row r="235" s="50" customFormat="1"/>
    <row r="236" s="50" customFormat="1"/>
    <row r="237" s="50" customFormat="1"/>
    <row r="238" s="50" customFormat="1"/>
    <row r="239" s="50" customFormat="1"/>
    <row r="240" s="50" customFormat="1"/>
    <row r="241" s="50" customFormat="1"/>
    <row r="242" s="50" customFormat="1"/>
    <row r="243" s="50" customFormat="1"/>
    <row r="244" s="50" customFormat="1"/>
    <row r="245" s="50" customFormat="1"/>
    <row r="246" s="50" customFormat="1"/>
    <row r="247" s="50" customFormat="1"/>
    <row r="248" s="50" customFormat="1"/>
    <row r="249" s="50" customFormat="1"/>
    <row r="250" s="50" customFormat="1"/>
    <row r="251" s="50" customFormat="1"/>
    <row r="252" s="50" customFormat="1"/>
    <row r="253" s="50" customFormat="1"/>
    <row r="254" s="50" customFormat="1"/>
    <row r="255" s="50" customFormat="1"/>
    <row r="256" s="50" customFormat="1"/>
    <row r="257" s="50" customFormat="1"/>
    <row r="258" s="50" customFormat="1"/>
    <row r="259" s="50" customFormat="1"/>
    <row r="260" s="50" customFormat="1"/>
    <row r="261" s="50" customFormat="1"/>
    <row r="262" s="50" customFormat="1"/>
    <row r="263" s="50" customFormat="1"/>
    <row r="264" s="50" customFormat="1"/>
    <row r="265" s="50" customFormat="1"/>
    <row r="266" s="50" customFormat="1"/>
    <row r="267" s="50" customFormat="1"/>
    <row r="268" s="50" customFormat="1"/>
    <row r="269" s="50" customFormat="1"/>
    <row r="270" s="50" customFormat="1"/>
    <row r="271" s="50" customFormat="1"/>
    <row r="272" s="50" customFormat="1"/>
    <row r="273" s="50" customFormat="1"/>
    <row r="274" s="50" customFormat="1"/>
    <row r="275" s="50" customFormat="1"/>
    <row r="276" s="50" customFormat="1"/>
    <row r="277" s="50" customFormat="1"/>
    <row r="278" s="50" customFormat="1"/>
    <row r="279" s="50" customFormat="1"/>
    <row r="280" s="50" customFormat="1"/>
    <row r="281" s="50" customFormat="1"/>
    <row r="282" s="50" customFormat="1"/>
    <row r="283" s="50" customFormat="1"/>
    <row r="284" s="50" customFormat="1"/>
    <row r="285" s="50" customFormat="1"/>
    <row r="286" s="50" customFormat="1"/>
    <row r="287" s="50" customFormat="1"/>
    <row r="288" s="50" customFormat="1"/>
    <row r="289" spans="1:3">
      <c r="A289" s="50"/>
      <c r="B289" s="50"/>
      <c r="C289" s="50"/>
    </row>
    <row r="290" spans="1:3">
      <c r="A290" s="50"/>
      <c r="B290" s="50"/>
      <c r="C290" s="50"/>
    </row>
  </sheetData>
  <mergeCells count="4">
    <mergeCell ref="A1:C1"/>
    <mergeCell ref="A34:C34"/>
    <mergeCell ref="A12:C12"/>
    <mergeCell ref="A23:C23"/>
  </mergeCells>
  <pageMargins left="0.511811024" right="0.511811024" top="0.78740157499999996" bottom="0.78740157499999996" header="0.31496062000000002" footer="0.31496062000000002"/>
  <pageSetup paperSize="9" orientation="portrait" r:id="rId1"/>
  <ignoredErrors>
    <ignoredError sqref="C39 C18"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Control Pannel</vt:lpstr>
      <vt:lpstr>Income Statement</vt:lpstr>
      <vt:lpstr>Cash Flow</vt:lpstr>
      <vt:lpstr>CERs</vt:lpstr>
      <vt:lpstr>Sensitivity Analysis</vt:lpstr>
    </vt:vector>
  </TitlesOfParts>
  <Company>Amaggi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Amaggi Exportacao e Importacao Ltda</dc:creator>
  <cp:lastModifiedBy>Ursula</cp:lastModifiedBy>
  <cp:lastPrinted>2007-04-20T14:17:40Z</cp:lastPrinted>
  <dcterms:created xsi:type="dcterms:W3CDTF">2003-08-22T13:41:59Z</dcterms:created>
  <dcterms:modified xsi:type="dcterms:W3CDTF">2012-09-03T13:44:43Z</dcterms:modified>
</cp:coreProperties>
</file>