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7.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24226"/>
  <mc:AlternateContent xmlns:mc="http://schemas.openxmlformats.org/markup-compatibility/2006">
    <mc:Choice Requires="x15">
      <x15ac:absPath xmlns:x15ac="http://schemas.microsoft.com/office/spreadsheetml/2010/11/ac" url="C:\SYNC\Sync\03.Projects-OG\1.CDM\1.Validation\CDM.VAL.15.32 (Shansha)\8.Submission Folder\revised\"/>
    </mc:Choice>
  </mc:AlternateContent>
  <bookViews>
    <workbookView xWindow="360" yWindow="150" windowWidth="9720" windowHeight="5865" tabRatio="601" activeTab="1"/>
  </bookViews>
  <sheets>
    <sheet name="Assumptions" sheetId="1" r:id="rId1"/>
    <sheet name="Projections" sheetId="2" r:id="rId2"/>
    <sheet name="Benchmark" sheetId="3" r:id="rId3"/>
  </sheets>
  <definedNames>
    <definedName name="_xlnm.Print_Area" localSheetId="0">Assumptions!$B$1:$D$35</definedName>
    <definedName name="_xlnm.Print_Area" localSheetId="1">Projections!$C$48:$W$65</definedName>
    <definedName name="_xlnm.Print_Titles" localSheetId="1">Projections!$C:$C</definedName>
    <definedName name="Z_08E761ED_2884_4595_B653_336056D2CEBA_.wvu.PrintArea" localSheetId="0" hidden="1">Assumptions!$B$1:$D$35</definedName>
    <definedName name="Z_08E761ED_2884_4595_B653_336056D2CEBA_.wvu.PrintArea" localSheetId="1" hidden="1">Projections!$C$48:$W$65</definedName>
    <definedName name="Z_08E761ED_2884_4595_B653_336056D2CEBA_.wvu.PrintTitles" localSheetId="1" hidden="1">Projections!$C:$C</definedName>
    <definedName name="Z_2CEDD2B9_1453_441E_94CE_79524362E6A4_.wvu.PrintArea" localSheetId="0" hidden="1">Assumptions!$B$1:$D$35</definedName>
    <definedName name="Z_2CEDD2B9_1453_441E_94CE_79524362E6A4_.wvu.PrintArea" localSheetId="1" hidden="1">Projections!$C$48:$W$65</definedName>
    <definedName name="Z_2CEDD2B9_1453_441E_94CE_79524362E6A4_.wvu.PrintTitles" localSheetId="1" hidden="1">Projections!$C:$C</definedName>
    <definedName name="Z_2D20C0F7_1037_4A18_A61E_F564F28214BE_.wvu.PrintArea" localSheetId="0" hidden="1">Assumptions!$B$1:$D$35</definedName>
    <definedName name="Z_2D20C0F7_1037_4A18_A61E_F564F28214BE_.wvu.PrintArea" localSheetId="1" hidden="1">Projections!$C$48:$W$65</definedName>
    <definedName name="Z_2D20C0F7_1037_4A18_A61E_F564F28214BE_.wvu.PrintTitles" localSheetId="1" hidden="1">Projections!$C:$C</definedName>
    <definedName name="Z_5BE2AE54_87B0_4624_BD31_BF8894FF4897_.wvu.PrintArea" localSheetId="0" hidden="1">Assumptions!$B$1:$D$35</definedName>
    <definedName name="Z_5BE2AE54_87B0_4624_BD31_BF8894FF4897_.wvu.PrintArea" localSheetId="1" hidden="1">Projections!$C$48:$W$65</definedName>
    <definedName name="Z_5BE2AE54_87B0_4624_BD31_BF8894FF4897_.wvu.PrintTitles" localSheetId="1" hidden="1">Projections!$C:$C</definedName>
    <definedName name="Z_83D67E10_79C1_4AD7_9ED8_F6E10CA6D44A_.wvu.PrintArea" localSheetId="0" hidden="1">Assumptions!$B$1:$D$35</definedName>
    <definedName name="Z_83D67E10_79C1_4AD7_9ED8_F6E10CA6D44A_.wvu.PrintArea" localSheetId="1" hidden="1">Projections!$C$48:$W$65</definedName>
    <definedName name="Z_83D67E10_79C1_4AD7_9ED8_F6E10CA6D44A_.wvu.PrintTitles" localSheetId="1" hidden="1">Projections!$C:$C</definedName>
    <definedName name="Z_86F6B4CD_A0C4_48C6_AD6C_F37B6D55AA0C_.wvu.PrintArea" localSheetId="0" hidden="1">Assumptions!$B$1:$D$35</definedName>
    <definedName name="Z_86F6B4CD_A0C4_48C6_AD6C_F37B6D55AA0C_.wvu.PrintArea" localSheetId="1" hidden="1">Projections!$C$48:$W$65</definedName>
    <definedName name="Z_86F6B4CD_A0C4_48C6_AD6C_F37B6D55AA0C_.wvu.PrintTitles" localSheetId="1" hidden="1">Projections!$C:$C</definedName>
    <definedName name="Z_8AF19479_4C16_465C_826A_BA33DB0C519F_.wvu.PrintArea" localSheetId="0" hidden="1">Assumptions!$B$1:$D$35</definedName>
    <definedName name="Z_8AF19479_4C16_465C_826A_BA33DB0C519F_.wvu.PrintArea" localSheetId="1" hidden="1">Projections!$C$48:$W$65</definedName>
    <definedName name="Z_8AF19479_4C16_465C_826A_BA33DB0C519F_.wvu.PrintTitles" localSheetId="1" hidden="1">Projections!$C:$C</definedName>
    <definedName name="Z_8BF9B530_CAE5_4243_B03F_ABECCF1738B4_.wvu.PrintArea" localSheetId="0" hidden="1">Assumptions!$B$1:$D$35</definedName>
    <definedName name="Z_8BF9B530_CAE5_4243_B03F_ABECCF1738B4_.wvu.PrintArea" localSheetId="1" hidden="1">Projections!$C$48:$W$65</definedName>
    <definedName name="Z_8BF9B530_CAE5_4243_B03F_ABECCF1738B4_.wvu.PrintTitles" localSheetId="1" hidden="1">Projections!$C:$C</definedName>
    <definedName name="Z_9150F2CC_AF3D_4623_895A_4254A73DAA6F_.wvu.PrintArea" localSheetId="0" hidden="1">Assumptions!$B$1:$D$35</definedName>
    <definedName name="Z_9150F2CC_AF3D_4623_895A_4254A73DAA6F_.wvu.PrintArea" localSheetId="1" hidden="1">Projections!$C$48:$W$65</definedName>
    <definedName name="Z_9150F2CC_AF3D_4623_895A_4254A73DAA6F_.wvu.PrintTitles" localSheetId="1" hidden="1">Projections!$C:$C</definedName>
    <definedName name="Z_A7C9A8E3_662B_468C_AF84_34E30A75F371_.wvu.PrintArea" localSheetId="0" hidden="1">Assumptions!$B$1:$D$35</definedName>
    <definedName name="Z_A7C9A8E3_662B_468C_AF84_34E30A75F371_.wvu.PrintArea" localSheetId="1" hidden="1">Projections!$C$48:$W$65</definedName>
    <definedName name="Z_A7C9A8E3_662B_468C_AF84_34E30A75F371_.wvu.PrintTitles" localSheetId="1" hidden="1">Projections!$C:$C</definedName>
    <definedName name="Z_C3E62452_AD71_4E68_89BB_05B3368381D4_.wvu.PrintArea" localSheetId="0" hidden="1">Assumptions!$B$1:$D$35</definedName>
    <definedName name="Z_C3E62452_AD71_4E68_89BB_05B3368381D4_.wvu.PrintArea" localSheetId="1" hidden="1">Projections!$C$48:$W$65</definedName>
    <definedName name="Z_C3E62452_AD71_4E68_89BB_05B3368381D4_.wvu.PrintTitles" localSheetId="1" hidden="1">Projections!$C:$C</definedName>
  </definedNames>
  <calcPr calcId="171027"/>
  <customWorkbookViews>
    <customWorkbookView name="User - Personal View" guid="{2D20C0F7-1037-4A18-A61E-F564F28214BE}" mergeInterval="0" personalView="1" maximized="1" xWindow="-8" yWindow="-8" windowWidth="1382" windowHeight="744" tabRatio="601" activeSheetId="1"/>
    <customWorkbookView name="Lenovo - Personal View" guid="{2CEDD2B9-1453-441E-94CE-79524362E6A4}" mergeInterval="0" personalView="1" maximized="1" windowWidth="1362" windowHeight="543" tabRatio="601" activeSheetId="1" showComments="commIndAndComment"/>
    <customWorkbookView name="TL - Personal View" guid="{8AF19479-4C16-465C-826A-BA33DB0C519F}" mergeInterval="0" personalView="1" maximized="1" xWindow="1" yWindow="1" windowWidth="1366" windowHeight="548" tabRatio="601" activeSheetId="1"/>
    <customWorkbookView name="Sanghvi, Naman - Personal View" guid="{08E761ED-2884-4595-B653-336056D2CEBA}" mergeInterval="0" personalView="1" maximized="1" xWindow="1" yWindow="1" windowWidth="1366" windowHeight="548" tabRatio="601" activeSheetId="1"/>
    <customWorkbookView name="Rakesh - Personal View" guid="{5BE2AE54-87B0-4624-BD31-BF8894FF4897}" mergeInterval="0" personalView="1" maximized="1" xWindow="1" yWindow="1" windowWidth="1362" windowHeight="538" tabRatio="601" activeSheetId="1"/>
    <customWorkbookView name="cdm19 - Personal View" guid="{9150F2CC-AF3D-4623-895A-4254A73DAA6F}" mergeInterval="0" personalView="1" maximized="1" xWindow="1" yWindow="1" windowWidth="1366" windowHeight="538" tabRatio="601" activeSheetId="1" showComments="commIndAndComment"/>
    <customWorkbookView name="Sandip - Personal View" guid="{C3E62452-AD71-4E68-89BB-05B3368381D4}" mergeInterval="0" personalView="1" maximized="1" xWindow="1" yWindow="1" windowWidth="1366" windowHeight="548" tabRatio="601" activeSheetId="1"/>
    <customWorkbookView name="Author - Personal View" guid="{8BF9B530-CAE5-4243-B03F-ABECCF1738B4}" mergeInterval="0" personalView="1" maximized="1" xWindow="1" yWindow="1" windowWidth="1366" windowHeight="548" tabRatio="601" activeSheetId="1"/>
    <customWorkbookView name="ICCo - Personal View" guid="{A7C9A8E3-662B-468C-AF84-34E30A75F371}" mergeInterval="0" personalView="1" maximized="1" windowWidth="1362" windowHeight="543" tabRatio="601" activeSheetId="2"/>
    <customWorkbookView name="Jasmeet - Personal View" guid="{86F6B4CD-A0C4-48C6-AD6C-F37B6D55AA0C}" mergeInterval="0" personalView="1" maximized="1" windowWidth="1362" windowHeight="543" tabRatio="601" activeSheetId="1"/>
    <customWorkbookView name="A - Personal View" guid="{83D67E10-79C1-4AD7-9ED8-F6E10CA6D44A}" mergeInterval="0" personalView="1" maximized="1" xWindow="-8" yWindow="-8" windowWidth="1616" windowHeight="886" tabRatio="601" activeSheetId="3" showComments="commIndAndComment"/>
  </customWorkbookViews>
</workbook>
</file>

<file path=xl/calcChain.xml><?xml version="1.0" encoding="utf-8"?>
<calcChain xmlns="http://schemas.openxmlformats.org/spreadsheetml/2006/main">
  <c r="C6" i="1" l="1"/>
  <c r="C21" i="1" l="1"/>
  <c r="C15" i="1" l="1"/>
  <c r="C27" i="1" l="1"/>
  <c r="C35" i="1" l="1"/>
  <c r="P52" i="2"/>
  <c r="P53" i="2" s="1"/>
  <c r="O52" i="2"/>
  <c r="O53" i="2" s="1"/>
  <c r="V101" i="1"/>
  <c r="U101" i="1"/>
  <c r="T101" i="1"/>
  <c r="S101" i="1"/>
  <c r="R101" i="1"/>
  <c r="Q101" i="1"/>
  <c r="P101" i="1"/>
  <c r="O101" i="1"/>
  <c r="N101" i="1"/>
  <c r="M101" i="1"/>
  <c r="L101" i="1"/>
  <c r="K101" i="1"/>
  <c r="J101" i="1"/>
  <c r="I101" i="1"/>
  <c r="H101" i="1"/>
  <c r="G101" i="1"/>
  <c r="F101" i="1"/>
  <c r="E101" i="1"/>
  <c r="D101" i="1"/>
  <c r="C101" i="1"/>
  <c r="F60" i="2"/>
  <c r="E60" i="2"/>
  <c r="D60" i="2"/>
  <c r="W53" i="2"/>
  <c r="V53" i="2"/>
  <c r="U53" i="2"/>
  <c r="T53" i="2"/>
  <c r="S53" i="2"/>
  <c r="R53" i="2"/>
  <c r="Q53" i="2"/>
  <c r="C17" i="1" l="1"/>
  <c r="D4" i="2" s="1"/>
  <c r="C18" i="1"/>
  <c r="M7" i="2"/>
  <c r="C78" i="1"/>
  <c r="C77" i="1"/>
  <c r="C76" i="1"/>
  <c r="F114" i="1"/>
  <c r="C64" i="1"/>
  <c r="C59" i="1"/>
  <c r="C8" i="3"/>
  <c r="I4" i="1" s="1"/>
  <c r="D6" i="2" l="1"/>
  <c r="U7" i="2"/>
  <c r="P7" i="2"/>
  <c r="V7" i="2"/>
  <c r="N7" i="2"/>
  <c r="H7" i="2"/>
  <c r="D7" i="2"/>
  <c r="K7" i="2"/>
  <c r="W7" i="2"/>
  <c r="T7" i="2"/>
  <c r="F7" i="2"/>
  <c r="L7" i="2"/>
  <c r="G7" i="2"/>
  <c r="E7" i="2"/>
  <c r="S7" i="2"/>
  <c r="C66" i="1"/>
  <c r="Q7" i="2"/>
  <c r="R7" i="2"/>
  <c r="O7" i="2"/>
  <c r="J7" i="2"/>
  <c r="I7" i="2"/>
  <c r="C79" i="1"/>
  <c r="C7" i="1"/>
  <c r="I4" i="2"/>
  <c r="V4" i="2"/>
  <c r="S4" i="2"/>
  <c r="R4" i="2"/>
  <c r="P4" i="2"/>
  <c r="E4" i="2"/>
  <c r="M4" i="2"/>
  <c r="F4" i="2"/>
  <c r="W4" i="2"/>
  <c r="H4" i="2"/>
  <c r="J4" i="2"/>
  <c r="L4" i="2"/>
  <c r="U4" i="2"/>
  <c r="G4" i="2"/>
  <c r="O4" i="2"/>
  <c r="K4" i="2"/>
  <c r="Q4" i="2"/>
  <c r="T4" i="2"/>
  <c r="N4" i="2"/>
  <c r="T6" i="2" l="1"/>
  <c r="G5" i="2"/>
  <c r="G6" i="2"/>
  <c r="H5" i="2"/>
  <c r="H6" i="2"/>
  <c r="E5" i="2"/>
  <c r="E6" i="2"/>
  <c r="V5" i="2"/>
  <c r="V6" i="2"/>
  <c r="Q5" i="2"/>
  <c r="Q6" i="2"/>
  <c r="W5" i="2"/>
  <c r="W6" i="2"/>
  <c r="P5" i="2"/>
  <c r="P6" i="2"/>
  <c r="I5" i="2"/>
  <c r="I6" i="2"/>
  <c r="K5" i="2"/>
  <c r="K6" i="2"/>
  <c r="L5" i="2"/>
  <c r="L6" i="2"/>
  <c r="F5" i="2"/>
  <c r="F6" i="2"/>
  <c r="R5" i="2"/>
  <c r="R6" i="2"/>
  <c r="N5" i="2"/>
  <c r="N6" i="2"/>
  <c r="O5" i="2"/>
  <c r="O6" i="2"/>
  <c r="J5" i="2"/>
  <c r="J6" i="2"/>
  <c r="M6" i="2"/>
  <c r="S6" i="2"/>
  <c r="U5" i="2"/>
  <c r="U6" i="2"/>
  <c r="D79" i="1"/>
  <c r="D78" i="1" s="1"/>
  <c r="E78" i="1" s="1"/>
  <c r="D25" i="2"/>
  <c r="D5" i="2"/>
  <c r="D8" i="2" s="1"/>
  <c r="C106" i="1"/>
  <c r="T5" i="2"/>
  <c r="M5" i="2"/>
  <c r="S5" i="2"/>
  <c r="R8" i="2" l="1"/>
  <c r="V8" i="2"/>
  <c r="U8" i="2"/>
  <c r="J8" i="2"/>
  <c r="N8" i="2"/>
  <c r="F8" i="2"/>
  <c r="K8" i="2"/>
  <c r="P8" i="2"/>
  <c r="Q8" i="2"/>
  <c r="L8" i="2"/>
  <c r="M8" i="2"/>
  <c r="S8" i="2"/>
  <c r="E8" i="2"/>
  <c r="W8" i="2"/>
  <c r="H8" i="2"/>
  <c r="O8" i="2"/>
  <c r="I8" i="2"/>
  <c r="G8" i="2"/>
  <c r="T8" i="2"/>
  <c r="D76" i="1"/>
  <c r="E76" i="1" s="1"/>
  <c r="C89" i="1" s="1"/>
  <c r="C68" i="1"/>
  <c r="D77" i="1"/>
  <c r="E77" i="1" s="1"/>
  <c r="C88" i="1" s="1"/>
  <c r="C69" i="1"/>
  <c r="C115" i="1" s="1"/>
  <c r="E25" i="2"/>
  <c r="D106" i="1"/>
  <c r="C90" i="1"/>
  <c r="E79" i="1" l="1"/>
  <c r="C102" i="1"/>
  <c r="D102" i="1" s="1"/>
  <c r="D51" i="2"/>
  <c r="D53" i="2" s="1"/>
  <c r="D62" i="2" s="1"/>
  <c r="D115" i="1"/>
  <c r="E115" i="1" s="1"/>
  <c r="C116" i="1" s="1"/>
  <c r="D139" i="1"/>
  <c r="D143" i="1"/>
  <c r="D147" i="1"/>
  <c r="D142" i="1"/>
  <c r="D148" i="1"/>
  <c r="D131" i="1"/>
  <c r="D135" i="1"/>
  <c r="D129" i="1"/>
  <c r="D132" i="1"/>
  <c r="D136" i="1"/>
  <c r="F115" i="1"/>
  <c r="D120" i="1"/>
  <c r="D117" i="1"/>
  <c r="D121" i="1"/>
  <c r="D141" i="1"/>
  <c r="D145" i="1"/>
  <c r="D140" i="1"/>
  <c r="D144" i="1"/>
  <c r="D146" i="1"/>
  <c r="D133" i="1"/>
  <c r="D137" i="1"/>
  <c r="D130" i="1"/>
  <c r="D134" i="1"/>
  <c r="D138" i="1"/>
  <c r="D118" i="1"/>
  <c r="D122" i="1"/>
  <c r="D119" i="1"/>
  <c r="D116" i="1"/>
  <c r="D126" i="1"/>
  <c r="D128" i="1"/>
  <c r="D125" i="1"/>
  <c r="D89" i="1"/>
  <c r="E89" i="1" s="1"/>
  <c r="F89" i="1" s="1"/>
  <c r="D127" i="1"/>
  <c r="D123" i="1"/>
  <c r="D124" i="1"/>
  <c r="F25" i="2"/>
  <c r="C91" i="1"/>
  <c r="D12" i="2" s="1"/>
  <c r="D27" i="2" s="1"/>
  <c r="D88" i="1"/>
  <c r="D90" i="1"/>
  <c r="E106" i="1"/>
  <c r="D11" i="2" l="1"/>
  <c r="C107" i="1"/>
  <c r="D14" i="2" s="1"/>
  <c r="E51" i="2"/>
  <c r="E53" i="2" s="1"/>
  <c r="E62" i="2" s="1"/>
  <c r="E116" i="1"/>
  <c r="C117" i="1" s="1"/>
  <c r="F117" i="1" s="1"/>
  <c r="F116" i="1"/>
  <c r="E102" i="1"/>
  <c r="E107" i="1" s="1"/>
  <c r="F14" i="2" s="1"/>
  <c r="D107" i="1"/>
  <c r="E14" i="2" s="1"/>
  <c r="E11" i="2"/>
  <c r="E90" i="1"/>
  <c r="F90" i="1" s="1"/>
  <c r="G25" i="2"/>
  <c r="G57" i="2"/>
  <c r="E88" i="1"/>
  <c r="F106" i="1"/>
  <c r="D91" i="1"/>
  <c r="E12" i="2" s="1"/>
  <c r="H57" i="2" s="1"/>
  <c r="F51" i="2" l="1"/>
  <c r="F53" i="2" s="1"/>
  <c r="F62" i="2" s="1"/>
  <c r="E117" i="1"/>
  <c r="F102" i="1"/>
  <c r="F107" i="1" s="1"/>
  <c r="G14" i="2" s="1"/>
  <c r="F11" i="2"/>
  <c r="H25" i="2"/>
  <c r="E27" i="2"/>
  <c r="G90" i="1"/>
  <c r="E91" i="1"/>
  <c r="F12" i="2" s="1"/>
  <c r="I57" i="2" s="1"/>
  <c r="F88" i="1"/>
  <c r="G106" i="1"/>
  <c r="G89" i="1"/>
  <c r="G11" i="2" l="1"/>
  <c r="G102" i="1"/>
  <c r="G107" i="1" s="1"/>
  <c r="H14" i="2" s="1"/>
  <c r="I25" i="2"/>
  <c r="H106" i="1"/>
  <c r="F91" i="1"/>
  <c r="G12" i="2" s="1"/>
  <c r="J57" i="2" s="1"/>
  <c r="G88" i="1"/>
  <c r="H88" i="1" s="1"/>
  <c r="H90" i="1"/>
  <c r="H89" i="1"/>
  <c r="F27" i="2"/>
  <c r="H102" i="1" l="1"/>
  <c r="H107" i="1" s="1"/>
  <c r="I14" i="2" s="1"/>
  <c r="H11" i="2"/>
  <c r="J25" i="2"/>
  <c r="I90" i="1"/>
  <c r="J90" i="1" s="1"/>
  <c r="K90" i="1" s="1"/>
  <c r="G27" i="2"/>
  <c r="I89" i="1"/>
  <c r="I106" i="1"/>
  <c r="G91" i="1"/>
  <c r="H12" i="2" s="1"/>
  <c r="K57" i="2" s="1"/>
  <c r="I88" i="1"/>
  <c r="H91" i="1"/>
  <c r="I12" i="2" s="1"/>
  <c r="L57" i="2" s="1"/>
  <c r="I102" i="1" l="1"/>
  <c r="I107" i="1" s="1"/>
  <c r="J14" i="2" s="1"/>
  <c r="I11" i="2"/>
  <c r="K25" i="2"/>
  <c r="H27" i="2"/>
  <c r="J106" i="1"/>
  <c r="I27" i="2"/>
  <c r="I91" i="1"/>
  <c r="J12" i="2" s="1"/>
  <c r="M57" i="2" s="1"/>
  <c r="J88" i="1"/>
  <c r="J89" i="1"/>
  <c r="L90" i="1"/>
  <c r="J11" i="2" l="1"/>
  <c r="J102" i="1"/>
  <c r="J107" i="1" s="1"/>
  <c r="K14" i="2" s="1"/>
  <c r="L25" i="2"/>
  <c r="M90" i="1"/>
  <c r="N90" i="1" s="1"/>
  <c r="O90" i="1" s="1"/>
  <c r="P90" i="1" s="1"/>
  <c r="Q90" i="1" s="1"/>
  <c r="R90" i="1" s="1"/>
  <c r="S90" i="1" s="1"/>
  <c r="T90" i="1" s="1"/>
  <c r="U90" i="1" s="1"/>
  <c r="V90" i="1" s="1"/>
  <c r="C95" i="1" s="1"/>
  <c r="K89" i="1"/>
  <c r="L89" i="1" s="1"/>
  <c r="M89" i="1" s="1"/>
  <c r="N89" i="1" s="1"/>
  <c r="O89" i="1" s="1"/>
  <c r="J27" i="2"/>
  <c r="K106" i="1"/>
  <c r="J91" i="1"/>
  <c r="K12" i="2" s="1"/>
  <c r="N57" i="2" s="1"/>
  <c r="K88" i="1"/>
  <c r="K11" i="2" l="1"/>
  <c r="K102" i="1"/>
  <c r="K107" i="1" s="1"/>
  <c r="L14" i="2" s="1"/>
  <c r="P89" i="1"/>
  <c r="Q89" i="1" s="1"/>
  <c r="R89" i="1" s="1"/>
  <c r="S89" i="1" s="1"/>
  <c r="T89" i="1" s="1"/>
  <c r="U89" i="1" s="1"/>
  <c r="V89" i="1" s="1"/>
  <c r="C94" i="1" s="1"/>
  <c r="M25" i="2"/>
  <c r="K27" i="2"/>
  <c r="L106" i="1"/>
  <c r="K91" i="1"/>
  <c r="L12" i="2" s="1"/>
  <c r="O57" i="2" s="1"/>
  <c r="L88" i="1"/>
  <c r="L11" i="2" l="1"/>
  <c r="L102" i="1"/>
  <c r="L107" i="1" s="1"/>
  <c r="M14" i="2" s="1"/>
  <c r="N25" i="2"/>
  <c r="L27" i="2"/>
  <c r="L91" i="1"/>
  <c r="M12" i="2" s="1"/>
  <c r="P57" i="2" s="1"/>
  <c r="M88" i="1"/>
  <c r="M106" i="1"/>
  <c r="M102" i="1" l="1"/>
  <c r="M107" i="1" s="1"/>
  <c r="N14" i="2" s="1"/>
  <c r="M11" i="2"/>
  <c r="O25" i="2"/>
  <c r="M91" i="1"/>
  <c r="N12" i="2" s="1"/>
  <c r="Q57" i="2" s="1"/>
  <c r="N88" i="1"/>
  <c r="N106" i="1"/>
  <c r="M27" i="2"/>
  <c r="N11" i="2" l="1"/>
  <c r="N102" i="1"/>
  <c r="N107" i="1" s="1"/>
  <c r="O14" i="2" s="1"/>
  <c r="P25" i="2"/>
  <c r="N27" i="2"/>
  <c r="O106" i="1"/>
  <c r="N91" i="1"/>
  <c r="O12" i="2" s="1"/>
  <c r="R57" i="2" s="1"/>
  <c r="O88" i="1"/>
  <c r="O11" i="2" l="1"/>
  <c r="O15" i="2" s="1"/>
  <c r="O17" i="2" s="1"/>
  <c r="O26" i="2" s="1"/>
  <c r="O102" i="1"/>
  <c r="O107" i="1" s="1"/>
  <c r="P14" i="2" s="1"/>
  <c r="Q25" i="2"/>
  <c r="O27" i="2"/>
  <c r="O91" i="1"/>
  <c r="P12" i="2" s="1"/>
  <c r="S57" i="2" s="1"/>
  <c r="P88" i="1"/>
  <c r="P106" i="1"/>
  <c r="P102" i="1" l="1"/>
  <c r="P107" i="1" s="1"/>
  <c r="Q14" i="2" s="1"/>
  <c r="P11" i="2"/>
  <c r="P15" i="2" s="1"/>
  <c r="P17" i="2" s="1"/>
  <c r="P26" i="2" s="1"/>
  <c r="O28" i="2"/>
  <c r="O29" i="2" s="1"/>
  <c r="R25" i="2"/>
  <c r="P91" i="1"/>
  <c r="Q12" i="2" s="1"/>
  <c r="T57" i="2" s="1"/>
  <c r="Q88" i="1"/>
  <c r="Q106" i="1"/>
  <c r="P27" i="2"/>
  <c r="Q102" i="1" l="1"/>
  <c r="Q107" i="1" s="1"/>
  <c r="R14" i="2" s="1"/>
  <c r="Q11" i="2"/>
  <c r="Q15" i="2" s="1"/>
  <c r="Q17" i="2" s="1"/>
  <c r="Q26" i="2" s="1"/>
  <c r="S25" i="2"/>
  <c r="P28" i="2"/>
  <c r="P29" i="2" s="1"/>
  <c r="R106" i="1"/>
  <c r="Q91" i="1"/>
  <c r="R12" i="2" s="1"/>
  <c r="U57" i="2" s="1"/>
  <c r="R88" i="1"/>
  <c r="Q27" i="2"/>
  <c r="R102" i="1" l="1"/>
  <c r="R107" i="1" s="1"/>
  <c r="S14" i="2" s="1"/>
  <c r="R11" i="2"/>
  <c r="R15" i="2" s="1"/>
  <c r="R17" i="2" s="1"/>
  <c r="R26" i="2" s="1"/>
  <c r="Q28" i="2"/>
  <c r="Q29" i="2" s="1"/>
  <c r="T25" i="2"/>
  <c r="R27" i="2"/>
  <c r="S106" i="1"/>
  <c r="R91" i="1"/>
  <c r="S12" i="2" s="1"/>
  <c r="V57" i="2" s="1"/>
  <c r="S88" i="1"/>
  <c r="S102" i="1" l="1"/>
  <c r="S107" i="1" s="1"/>
  <c r="T14" i="2" s="1"/>
  <c r="S11" i="2"/>
  <c r="S15" i="2" s="1"/>
  <c r="S17" i="2" s="1"/>
  <c r="S26" i="2" s="1"/>
  <c r="U25" i="2"/>
  <c r="S91" i="1"/>
  <c r="T12" i="2" s="1"/>
  <c r="W57" i="2" s="1"/>
  <c r="T88" i="1"/>
  <c r="S27" i="2"/>
  <c r="T106" i="1"/>
  <c r="R28" i="2"/>
  <c r="R29" i="2" s="1"/>
  <c r="T102" i="1" l="1"/>
  <c r="T107" i="1" s="1"/>
  <c r="U14" i="2" s="1"/>
  <c r="T11" i="2"/>
  <c r="T15" i="2" s="1"/>
  <c r="T17" i="2" s="1"/>
  <c r="T26" i="2" s="1"/>
  <c r="S28" i="2"/>
  <c r="S29" i="2" s="1"/>
  <c r="V25" i="2"/>
  <c r="U106" i="1"/>
  <c r="T27" i="2"/>
  <c r="T91" i="1"/>
  <c r="U12" i="2" s="1"/>
  <c r="X57" i="2" s="1"/>
  <c r="U88" i="1"/>
  <c r="U102" i="1" l="1"/>
  <c r="U107" i="1" s="1"/>
  <c r="V14" i="2" s="1"/>
  <c r="U11" i="2"/>
  <c r="U15" i="2" s="1"/>
  <c r="U17" i="2" s="1"/>
  <c r="U26" i="2" s="1"/>
  <c r="T28" i="2"/>
  <c r="T29" i="2" s="1"/>
  <c r="W25" i="2"/>
  <c r="U27" i="2"/>
  <c r="V106" i="1"/>
  <c r="U91" i="1"/>
  <c r="V12" i="2" s="1"/>
  <c r="Y57" i="2" s="1"/>
  <c r="V88" i="1"/>
  <c r="C93" i="1" s="1"/>
  <c r="V11" i="2" l="1"/>
  <c r="V15" i="2" s="1"/>
  <c r="V17" i="2" s="1"/>
  <c r="V26" i="2" s="1"/>
  <c r="V102" i="1"/>
  <c r="V107" i="1" s="1"/>
  <c r="W14" i="2" s="1"/>
  <c r="U28" i="2"/>
  <c r="U29" i="2" s="1"/>
  <c r="V91" i="1"/>
  <c r="W12" i="2" s="1"/>
  <c r="Z57" i="2" s="1"/>
  <c r="R59" i="2"/>
  <c r="V27" i="2"/>
  <c r="W11" i="2" l="1"/>
  <c r="W15" i="2" s="1"/>
  <c r="W17" i="2" s="1"/>
  <c r="W26" i="2" s="1"/>
  <c r="V28" i="2"/>
  <c r="V29" i="2" s="1"/>
  <c r="W27" i="2"/>
  <c r="C96" i="1"/>
  <c r="Z58" i="2" s="1"/>
  <c r="W28" i="2" l="1"/>
  <c r="W29" i="2" s="1"/>
  <c r="S59" i="2"/>
  <c r="C109" i="1"/>
  <c r="T59" i="2" l="1"/>
  <c r="U59" i="2" l="1"/>
  <c r="V59" i="2" l="1"/>
  <c r="W59" i="2" l="1"/>
  <c r="X59" i="2" l="1"/>
  <c r="Y59" i="2" l="1"/>
  <c r="Z59" i="2" l="1"/>
  <c r="L15" i="2" l="1"/>
  <c r="L17" i="2" s="1"/>
  <c r="L26" i="2" s="1"/>
  <c r="L28" i="2" s="1"/>
  <c r="L29" i="2" s="1"/>
  <c r="O59" i="2" l="1"/>
  <c r="M15" i="2" l="1"/>
  <c r="M17" i="2" s="1"/>
  <c r="M26" i="2" s="1"/>
  <c r="M28" i="2" s="1"/>
  <c r="M29" i="2" s="1"/>
  <c r="P59" i="2" l="1"/>
  <c r="N15" i="2" l="1"/>
  <c r="N17" i="2" s="1"/>
  <c r="N26" i="2" s="1"/>
  <c r="N28" i="2" s="1"/>
  <c r="N29" i="2" s="1"/>
  <c r="Q59" i="2" l="1"/>
  <c r="C118" i="1"/>
  <c r="F118" i="1" s="1"/>
  <c r="H118" i="1" l="1"/>
  <c r="G52" i="2" s="1"/>
  <c r="G53" i="2" s="1"/>
  <c r="G118" i="1" l="1"/>
  <c r="D13" i="2" s="1"/>
  <c r="D15" i="2" s="1"/>
  <c r="D17" i="2" s="1"/>
  <c r="D26" i="2" s="1"/>
  <c r="D28" i="2" s="1"/>
  <c r="D29" i="2" s="1"/>
  <c r="E118" i="1"/>
  <c r="C119" i="1" s="1"/>
  <c r="G59" i="2" l="1"/>
  <c r="D31" i="2"/>
  <c r="F119" i="1"/>
  <c r="E119" i="1"/>
  <c r="C120" i="1" s="1"/>
  <c r="F120" i="1" l="1"/>
  <c r="E120" i="1"/>
  <c r="C121" i="1" s="1"/>
  <c r="D32" i="2"/>
  <c r="E30" i="2"/>
  <c r="F121" i="1" l="1"/>
  <c r="E121" i="1"/>
  <c r="C122" i="1" s="1"/>
  <c r="D37" i="2"/>
  <c r="D33" i="2"/>
  <c r="D34" i="2" s="1"/>
  <c r="D36" i="2" s="1"/>
  <c r="H122" i="1"/>
  <c r="H52" i="2" s="1"/>
  <c r="H53" i="2" s="1"/>
  <c r="H126" i="1"/>
  <c r="I52" i="2" s="1"/>
  <c r="I53" i="2" s="1"/>
  <c r="H130" i="1"/>
  <c r="J52" i="2" s="1"/>
  <c r="J53" i="2" s="1"/>
  <c r="D43" i="2" l="1"/>
  <c r="D18" i="2" s="1"/>
  <c r="D19" i="2" s="1"/>
  <c r="D41" i="2"/>
  <c r="F122" i="1"/>
  <c r="G122" i="1" s="1"/>
  <c r="E13" i="2" s="1"/>
  <c r="E15" i="2" s="1"/>
  <c r="E17" i="2" s="1"/>
  <c r="E122" i="1"/>
  <c r="C123" i="1" s="1"/>
  <c r="G56" i="2" l="1"/>
  <c r="E26" i="2"/>
  <c r="E28" i="2" s="1"/>
  <c r="E29" i="2" s="1"/>
  <c r="F123" i="1"/>
  <c r="E123" i="1"/>
  <c r="C124" i="1" s="1"/>
  <c r="H59" i="2" l="1"/>
  <c r="E31" i="2"/>
  <c r="E124" i="1"/>
  <c r="C125" i="1" s="1"/>
  <c r="F124" i="1"/>
  <c r="F30" i="2" l="1"/>
  <c r="E32" i="2"/>
  <c r="E125" i="1"/>
  <c r="C126" i="1" s="1"/>
  <c r="F125" i="1"/>
  <c r="E37" i="2" l="1"/>
  <c r="E33" i="2"/>
  <c r="E34" i="2" s="1"/>
  <c r="E36" i="2" s="1"/>
  <c r="F126" i="1"/>
  <c r="G126" i="1" s="1"/>
  <c r="F13" i="2" s="1"/>
  <c r="F15" i="2" s="1"/>
  <c r="F17" i="2" s="1"/>
  <c r="E126" i="1"/>
  <c r="C127" i="1" s="1"/>
  <c r="E39" i="2" l="1"/>
  <c r="E40" i="2"/>
  <c r="E43" i="2" s="1"/>
  <c r="E18" i="2" s="1"/>
  <c r="E19" i="2" s="1"/>
  <c r="H56" i="2" s="1"/>
  <c r="F26" i="2"/>
  <c r="F28" i="2" s="1"/>
  <c r="F29" i="2" s="1"/>
  <c r="F127" i="1"/>
  <c r="E127" i="1"/>
  <c r="C128" i="1" s="1"/>
  <c r="E41" i="2" l="1"/>
  <c r="F31" i="2"/>
  <c r="I59" i="2"/>
  <c r="F128" i="1"/>
  <c r="E128" i="1"/>
  <c r="C129" i="1" s="1"/>
  <c r="F129" i="1" l="1"/>
  <c r="E129" i="1"/>
  <c r="C130" i="1" s="1"/>
  <c r="G30" i="2"/>
  <c r="F32" i="2"/>
  <c r="F37" i="2" l="1"/>
  <c r="F33" i="2"/>
  <c r="F34" i="2" s="1"/>
  <c r="F36" i="2" s="1"/>
  <c r="F130" i="1"/>
  <c r="G130" i="1" s="1"/>
  <c r="G13" i="2" s="1"/>
  <c r="G15" i="2" s="1"/>
  <c r="G17" i="2" s="1"/>
  <c r="E130" i="1"/>
  <c r="C131" i="1" s="1"/>
  <c r="F39" i="2" l="1"/>
  <c r="F40" i="2"/>
  <c r="F43" i="2" s="1"/>
  <c r="G26" i="2"/>
  <c r="G28" i="2" s="1"/>
  <c r="G29" i="2" s="1"/>
  <c r="E131" i="1"/>
  <c r="C132" i="1" s="1"/>
  <c r="F131" i="1"/>
  <c r="G31" i="2" l="1"/>
  <c r="J59" i="2"/>
  <c r="E132" i="1"/>
  <c r="C133" i="1" s="1"/>
  <c r="F132" i="1"/>
  <c r="G32" i="2" l="1"/>
  <c r="H30" i="2"/>
  <c r="F133" i="1"/>
  <c r="E133" i="1"/>
  <c r="C134" i="1" s="1"/>
  <c r="H134" i="1" s="1"/>
  <c r="K52" i="2" s="1"/>
  <c r="K53" i="2" s="1"/>
  <c r="F134" i="1" l="1"/>
  <c r="G134" i="1" s="1"/>
  <c r="H13" i="2" s="1"/>
  <c r="H15" i="2" s="1"/>
  <c r="H17" i="2" s="1"/>
  <c r="E134" i="1"/>
  <c r="C135" i="1" s="1"/>
  <c r="G37" i="2"/>
  <c r="G33" i="2"/>
  <c r="G34" i="2" s="1"/>
  <c r="G36" i="2" s="1"/>
  <c r="G39" i="2" l="1"/>
  <c r="H26" i="2"/>
  <c r="H28" i="2" s="1"/>
  <c r="H29" i="2" s="1"/>
  <c r="E135" i="1"/>
  <c r="C136" i="1" s="1"/>
  <c r="F135" i="1"/>
  <c r="K59" i="2" l="1"/>
  <c r="H31" i="2"/>
  <c r="F136" i="1"/>
  <c r="E136" i="1"/>
  <c r="C137" i="1" s="1"/>
  <c r="E137" i="1" l="1"/>
  <c r="C138" i="1" s="1"/>
  <c r="H138" i="1" s="1"/>
  <c r="F137" i="1"/>
  <c r="H32" i="2"/>
  <c r="I30" i="2"/>
  <c r="F138" i="1" l="1"/>
  <c r="G138" i="1" s="1"/>
  <c r="I13" i="2" s="1"/>
  <c r="I15" i="2" s="1"/>
  <c r="I17" i="2" s="1"/>
  <c r="E138" i="1"/>
  <c r="C139" i="1" s="1"/>
  <c r="H37" i="2"/>
  <c r="H33" i="2"/>
  <c r="H34" i="2" s="1"/>
  <c r="H36" i="2" s="1"/>
  <c r="H39" i="2" l="1"/>
  <c r="I26" i="2"/>
  <c r="I28" i="2" s="1"/>
  <c r="I29" i="2" s="1"/>
  <c r="E139" i="1"/>
  <c r="C140" i="1" s="1"/>
  <c r="F139" i="1"/>
  <c r="E140" i="1" l="1"/>
  <c r="F140" i="1"/>
  <c r="L59" i="2"/>
  <c r="I31" i="2"/>
  <c r="C141" i="1" l="1"/>
  <c r="F141" i="1" s="1"/>
  <c r="J30" i="2"/>
  <c r="I32" i="2"/>
  <c r="E141" i="1" l="1"/>
  <c r="C142" i="1" s="1"/>
  <c r="F142" i="1" s="1"/>
  <c r="I37" i="2"/>
  <c r="I33" i="2"/>
  <c r="I34" i="2" s="1"/>
  <c r="I36" i="2" s="1"/>
  <c r="H142" i="1" l="1"/>
  <c r="L52" i="2" s="1"/>
  <c r="L53" i="2" s="1"/>
  <c r="I39" i="2"/>
  <c r="G142" i="1"/>
  <c r="J13" i="2" s="1"/>
  <c r="J15" i="2" s="1"/>
  <c r="J17" i="2" s="1"/>
  <c r="J26" i="2" s="1"/>
  <c r="J28" i="2" s="1"/>
  <c r="J29" i="2" s="1"/>
  <c r="E142" i="1" l="1"/>
  <c r="C143" i="1" s="1"/>
  <c r="F143" i="1" s="1"/>
  <c r="J31" i="2"/>
  <c r="M59" i="2"/>
  <c r="E143" i="1" l="1"/>
  <c r="C144" i="1" s="1"/>
  <c r="F144" i="1" s="1"/>
  <c r="J32" i="2"/>
  <c r="K30" i="2"/>
  <c r="E144" i="1" l="1"/>
  <c r="C145" i="1" s="1"/>
  <c r="F145" i="1" s="1"/>
  <c r="J37" i="2"/>
  <c r="J33" i="2"/>
  <c r="J34" i="2" s="1"/>
  <c r="J36" i="2" s="1"/>
  <c r="J39" i="2" l="1"/>
  <c r="E145" i="1" l="1"/>
  <c r="C146" i="1" s="1"/>
  <c r="F146" i="1" s="1"/>
  <c r="H146" i="1" l="1"/>
  <c r="M52" i="2" s="1"/>
  <c r="M53" i="2" s="1"/>
  <c r="G146" i="1"/>
  <c r="K13" i="2" s="1"/>
  <c r="K15" i="2" s="1"/>
  <c r="K17" i="2" s="1"/>
  <c r="K26" i="2" s="1"/>
  <c r="K28" i="2" s="1"/>
  <c r="K29" i="2" s="1"/>
  <c r="E146" i="1" l="1"/>
  <c r="C147" i="1" s="1"/>
  <c r="F147" i="1" s="1"/>
  <c r="N59" i="2"/>
  <c r="K31" i="2"/>
  <c r="E147" i="1" l="1"/>
  <c r="C148" i="1" s="1"/>
  <c r="K32" i="2"/>
  <c r="L30" i="2"/>
  <c r="L31" i="2" s="1"/>
  <c r="F148" i="1" l="1"/>
  <c r="E148" i="1"/>
  <c r="C149" i="1" s="1"/>
  <c r="L32" i="2"/>
  <c r="L33" i="2" s="1"/>
  <c r="L34" i="2" s="1"/>
  <c r="L36" i="2" s="1"/>
  <c r="M30" i="2"/>
  <c r="M31" i="2" s="1"/>
  <c r="K33" i="2"/>
  <c r="K34" i="2" s="1"/>
  <c r="K36" i="2" s="1"/>
  <c r="K37" i="2"/>
  <c r="F149" i="1" l="1"/>
  <c r="D149" i="1"/>
  <c r="E149" i="1" s="1"/>
  <c r="C150" i="1" s="1"/>
  <c r="D150" i="1" s="1"/>
  <c r="K39" i="2"/>
  <c r="M32" i="2"/>
  <c r="M37" i="2" s="1"/>
  <c r="N30" i="2"/>
  <c r="N31" i="2" s="1"/>
  <c r="L37" i="2"/>
  <c r="L39" i="2" s="1"/>
  <c r="F150" i="1" l="1"/>
  <c r="G150" i="1" s="1"/>
  <c r="E150" i="1"/>
  <c r="C151" i="1" s="1"/>
  <c r="F151" i="1" s="1"/>
  <c r="M33" i="2"/>
  <c r="M34" i="2" s="1"/>
  <c r="M36" i="2" s="1"/>
  <c r="M39" i="2" s="1"/>
  <c r="O30" i="2"/>
  <c r="O31" i="2" s="1"/>
  <c r="N32" i="2"/>
  <c r="D151" i="1" l="1"/>
  <c r="E151" i="1" s="1"/>
  <c r="C152" i="1" s="1"/>
  <c r="F152" i="1" s="1"/>
  <c r="H150" i="1"/>
  <c r="N52" i="2" s="1"/>
  <c r="N53" i="2" s="1"/>
  <c r="N37" i="2"/>
  <c r="N33" i="2"/>
  <c r="N34" i="2" s="1"/>
  <c r="N36" i="2" s="1"/>
  <c r="O32" i="2"/>
  <c r="O37" i="2" s="1"/>
  <c r="P30" i="2"/>
  <c r="P31" i="2" s="1"/>
  <c r="N39" i="2" l="1"/>
  <c r="D152" i="1"/>
  <c r="E152" i="1" s="1"/>
  <c r="C153" i="1" s="1"/>
  <c r="F153" i="1" s="1"/>
  <c r="P32" i="2"/>
  <c r="Q30" i="2"/>
  <c r="Q31" i="2" s="1"/>
  <c r="O33" i="2"/>
  <c r="O34" i="2" s="1"/>
  <c r="O36" i="2" s="1"/>
  <c r="O39" i="2" s="1"/>
  <c r="D153" i="1" l="1"/>
  <c r="E153" i="1" s="1"/>
  <c r="C154" i="1" s="1"/>
  <c r="F154" i="1" s="1"/>
  <c r="G154" i="1" s="1"/>
  <c r="P37" i="2"/>
  <c r="P33" i="2"/>
  <c r="P34" i="2" s="1"/>
  <c r="P36" i="2" s="1"/>
  <c r="Q32" i="2"/>
  <c r="R30" i="2"/>
  <c r="R31" i="2" s="1"/>
  <c r="D154" i="1" l="1"/>
  <c r="H154" i="1" s="1"/>
  <c r="Q37" i="2"/>
  <c r="S30" i="2"/>
  <c r="S31" i="2" s="1"/>
  <c r="R32" i="2"/>
  <c r="R37" i="2" s="1"/>
  <c r="Q33" i="2"/>
  <c r="Q34" i="2" s="1"/>
  <c r="Q36" i="2" s="1"/>
  <c r="P39" i="2"/>
  <c r="E154" i="1" l="1"/>
  <c r="T30" i="2"/>
  <c r="T31" i="2" s="1"/>
  <c r="S32" i="2"/>
  <c r="R33" i="2"/>
  <c r="R34" i="2" s="1"/>
  <c r="R36" i="2" s="1"/>
  <c r="R39" i="2" s="1"/>
  <c r="Q39" i="2"/>
  <c r="S37" i="2" l="1"/>
  <c r="U30" i="2"/>
  <c r="U31" i="2" s="1"/>
  <c r="T32" i="2"/>
  <c r="S33" i="2"/>
  <c r="S34" i="2" s="1"/>
  <c r="S36" i="2" s="1"/>
  <c r="V30" i="2" l="1"/>
  <c r="V31" i="2" s="1"/>
  <c r="U32" i="2"/>
  <c r="U33" i="2" s="1"/>
  <c r="U34" i="2" s="1"/>
  <c r="U36" i="2" s="1"/>
  <c r="S39" i="2"/>
  <c r="T37" i="2"/>
  <c r="T33" i="2"/>
  <c r="T34" i="2" s="1"/>
  <c r="T36" i="2" s="1"/>
  <c r="F41" i="2"/>
  <c r="V32" i="2" l="1"/>
  <c r="V37" i="2" s="1"/>
  <c r="W30" i="2"/>
  <c r="W31" i="2" s="1"/>
  <c r="W32" i="2" s="1"/>
  <c r="U37" i="2"/>
  <c r="U39" i="2" s="1"/>
  <c r="T39" i="2"/>
  <c r="F18" i="2"/>
  <c r="F19" i="2" s="1"/>
  <c r="I56" i="2" s="1"/>
  <c r="V33" i="2" l="1"/>
  <c r="V34" i="2" s="1"/>
  <c r="V36" i="2" s="1"/>
  <c r="V39" i="2" s="1"/>
  <c r="W33" i="2"/>
  <c r="W34" i="2" s="1"/>
  <c r="W36" i="2" s="1"/>
  <c r="W37" i="2"/>
  <c r="G40" i="2"/>
  <c r="G43" i="2" s="1"/>
  <c r="W39" i="2" l="1"/>
  <c r="G18" i="2"/>
  <c r="G19" i="2" s="1"/>
  <c r="J56" i="2" s="1"/>
  <c r="G41" i="2"/>
  <c r="G60" i="2" l="1"/>
  <c r="G62" i="2" s="1"/>
  <c r="H40" i="2"/>
  <c r="H41" i="2" l="1"/>
  <c r="I40" i="2" s="1"/>
  <c r="I43" i="2" s="1"/>
  <c r="I18" i="2" s="1"/>
  <c r="I19" i="2" s="1"/>
  <c r="L56" i="2" s="1"/>
  <c r="H43" i="2"/>
  <c r="H18" i="2" s="1"/>
  <c r="H19" i="2" s="1"/>
  <c r="K56" i="2" s="1"/>
  <c r="I60" i="2" l="1"/>
  <c r="I62" i="2" s="1"/>
  <c r="H60" i="2"/>
  <c r="H62" i="2" s="1"/>
  <c r="I41" i="2"/>
  <c r="J40" i="2" l="1"/>
  <c r="J43" i="2" l="1"/>
  <c r="J18" i="2" s="1"/>
  <c r="J19" i="2" s="1"/>
  <c r="M56" i="2" s="1"/>
  <c r="J41" i="2"/>
  <c r="J60" i="2" l="1"/>
  <c r="J62" i="2" s="1"/>
  <c r="K40" i="2"/>
  <c r="K43" i="2" l="1"/>
  <c r="K18" i="2" s="1"/>
  <c r="K19" i="2" s="1"/>
  <c r="N56" i="2" s="1"/>
  <c r="K41" i="2"/>
  <c r="L40" i="2" s="1"/>
  <c r="K60" i="2" l="1"/>
  <c r="K62" i="2" s="1"/>
  <c r="L43" i="2"/>
  <c r="L18" i="2" s="1"/>
  <c r="L19" i="2" s="1"/>
  <c r="O56" i="2" s="1"/>
  <c r="L41" i="2"/>
  <c r="M40" i="2" s="1"/>
  <c r="L60" i="2" l="1"/>
  <c r="L62" i="2" s="1"/>
  <c r="M43" i="2"/>
  <c r="M18" i="2" s="1"/>
  <c r="M19" i="2" s="1"/>
  <c r="P56" i="2" s="1"/>
  <c r="M41" i="2"/>
  <c r="N40" i="2" s="1"/>
  <c r="M60" i="2" l="1"/>
  <c r="M62" i="2" s="1"/>
  <c r="N41" i="2"/>
  <c r="O40" i="2" s="1"/>
  <c r="N43" i="2"/>
  <c r="N18" i="2" s="1"/>
  <c r="N19" i="2" s="1"/>
  <c r="Q56" i="2" s="1"/>
  <c r="N60" i="2" l="1"/>
  <c r="N62" i="2" s="1"/>
  <c r="O43" i="2"/>
  <c r="O18" i="2" s="1"/>
  <c r="O19" i="2" s="1"/>
  <c r="R56" i="2" s="1"/>
  <c r="O41" i="2"/>
  <c r="O60" i="2" l="1"/>
  <c r="O62" i="2" s="1"/>
  <c r="P40" i="2"/>
  <c r="P41" i="2" l="1"/>
  <c r="Q40" i="2" s="1"/>
  <c r="P43" i="2"/>
  <c r="P18" i="2" s="1"/>
  <c r="P19" i="2" s="1"/>
  <c r="S56" i="2" s="1"/>
  <c r="P60" i="2" l="1"/>
  <c r="P62" i="2" s="1"/>
  <c r="Q41" i="2"/>
  <c r="R40" i="2" s="1"/>
  <c r="Q43" i="2"/>
  <c r="Q18" i="2" s="1"/>
  <c r="Q19" i="2" s="1"/>
  <c r="T56" i="2" s="1"/>
  <c r="Q60" i="2" l="1"/>
  <c r="Q62" i="2" s="1"/>
  <c r="R41" i="2"/>
  <c r="S40" i="2" s="1"/>
  <c r="S43" i="2" s="1"/>
  <c r="S18" i="2" s="1"/>
  <c r="S19" i="2" s="1"/>
  <c r="V56" i="2" s="1"/>
  <c r="R43" i="2"/>
  <c r="R18" i="2" s="1"/>
  <c r="R19" i="2" s="1"/>
  <c r="U56" i="2" s="1"/>
  <c r="R60" i="2" l="1"/>
  <c r="R62" i="2" s="1"/>
  <c r="S60" i="2"/>
  <c r="S62" i="2" s="1"/>
  <c r="S41" i="2"/>
  <c r="T40" i="2" s="1"/>
  <c r="T41" i="2" l="1"/>
  <c r="U40" i="2" s="1"/>
  <c r="U43" i="2" s="1"/>
  <c r="U18" i="2" s="1"/>
  <c r="U19" i="2" s="1"/>
  <c r="X56" i="2" s="1"/>
  <c r="T43" i="2"/>
  <c r="T18" i="2" s="1"/>
  <c r="T19" i="2" s="1"/>
  <c r="W56" i="2" s="1"/>
  <c r="U60" i="2" l="1"/>
  <c r="U62" i="2" s="1"/>
  <c r="T60" i="2"/>
  <c r="T62" i="2" s="1"/>
  <c r="U41" i="2"/>
  <c r="V40" i="2" s="1"/>
  <c r="V41" i="2" l="1"/>
  <c r="W40" i="2" s="1"/>
  <c r="V43" i="2"/>
  <c r="V18" i="2" s="1"/>
  <c r="V19" i="2" s="1"/>
  <c r="Y56" i="2" s="1"/>
  <c r="V60" i="2" l="1"/>
  <c r="V62" i="2" s="1"/>
  <c r="W41" i="2"/>
  <c r="W43" i="2"/>
  <c r="W18" i="2" s="1"/>
  <c r="W19" i="2" s="1"/>
  <c r="Z56" i="2" s="1"/>
  <c r="Z60" i="2" l="1"/>
  <c r="Z62" i="2" s="1"/>
  <c r="W60" i="2"/>
  <c r="W62" i="2" s="1"/>
  <c r="Y60" i="2" l="1"/>
  <c r="Y62" i="2" s="1"/>
  <c r="X60" i="2"/>
  <c r="X62" i="2" s="1"/>
  <c r="D64" i="2" l="1"/>
  <c r="H4" i="1" l="1"/>
  <c r="M4" i="1" s="1"/>
  <c r="M5" i="1" s="1"/>
  <c r="M6" i="1" s="1"/>
  <c r="M7" i="1" s="1"/>
</calcChain>
</file>

<file path=xl/sharedStrings.xml><?xml version="1.0" encoding="utf-8"?>
<sst xmlns="http://schemas.openxmlformats.org/spreadsheetml/2006/main" count="364" uniqueCount="210">
  <si>
    <t>O &amp; M Expenses</t>
  </si>
  <si>
    <t>Cash Inflow</t>
  </si>
  <si>
    <t>Profit before Tax</t>
  </si>
  <si>
    <t>Profit After Tax</t>
  </si>
  <si>
    <t>Add: Book Depreciation</t>
  </si>
  <si>
    <t>Profit Before Tax (PBT)</t>
  </si>
  <si>
    <t>Total Depreciation</t>
  </si>
  <si>
    <t>Project Cost</t>
  </si>
  <si>
    <t>Book Depreciation</t>
  </si>
  <si>
    <t>Book Depreciation Added back</t>
  </si>
  <si>
    <t xml:space="preserve">Total Expenses                       </t>
  </si>
  <si>
    <t>Tariff</t>
  </si>
  <si>
    <t>Total Revenues</t>
  </si>
  <si>
    <t>Assumptions for Financial Model</t>
  </si>
  <si>
    <t>Income Tax</t>
  </si>
  <si>
    <t xml:space="preserve">                    Year Ending</t>
  </si>
  <si>
    <t>Particulars Year Ending</t>
  </si>
  <si>
    <t>Salvage Value</t>
  </si>
  <si>
    <t>Tax Shield</t>
  </si>
  <si>
    <t>Annual Taxable Income</t>
  </si>
  <si>
    <t>Carried Over Losses for 80 IA computation</t>
  </si>
  <si>
    <t>Taxable Income after Tax Holiday</t>
  </si>
  <si>
    <t>Exempted Income under 80 IA*</t>
  </si>
  <si>
    <t>* 100% Tax exemption in 10 consecutive years out first 15 years of operations</t>
  </si>
  <si>
    <t>Rs. in Million</t>
  </si>
  <si>
    <t>Tariff (Rs. Per Unit)</t>
  </si>
  <si>
    <t xml:space="preserve">Profit before depreciation and tax   </t>
  </si>
  <si>
    <t>Notional Income after adjusting carried over loss for 80 IA computation</t>
  </si>
  <si>
    <t>CASH FLOWS</t>
  </si>
  <si>
    <t>TAX CALCULATION</t>
  </si>
  <si>
    <t>Source</t>
  </si>
  <si>
    <t>Parameter</t>
  </si>
  <si>
    <t>Benchmark</t>
  </si>
  <si>
    <t>Project</t>
  </si>
  <si>
    <t>Location</t>
  </si>
  <si>
    <t xml:space="preserve">Owner  </t>
  </si>
  <si>
    <t>Calculated</t>
  </si>
  <si>
    <t>Revenues</t>
  </si>
  <si>
    <t>Expenses</t>
  </si>
  <si>
    <t>Post Tax Equity IRR and Sensitivity Analysis</t>
  </si>
  <si>
    <t>Variation(%)</t>
  </si>
  <si>
    <t>Generation</t>
  </si>
  <si>
    <t>O&amp;M Cost</t>
  </si>
  <si>
    <t>Installed capacity in MW</t>
  </si>
  <si>
    <t>Escalation of O &amp; M cost (% per year)</t>
  </si>
  <si>
    <t>Interest on Working capital</t>
  </si>
  <si>
    <t>Tax holiday (years)</t>
  </si>
  <si>
    <t>Straight line method (SLM)</t>
  </si>
  <si>
    <t>Civil</t>
  </si>
  <si>
    <t>Plant and machinery</t>
  </si>
  <si>
    <t>Electrical &amp; mechanical works</t>
  </si>
  <si>
    <t>Net Generation (million units)</t>
  </si>
  <si>
    <t>O&amp;M cost payment schedule</t>
  </si>
  <si>
    <t>Working Capital</t>
  </si>
  <si>
    <t>Average working capital</t>
  </si>
  <si>
    <t>Book Depreciation as per Companies Act, 1956</t>
  </si>
  <si>
    <t>Electrical &amp; mechanical works cost</t>
  </si>
  <si>
    <t>Civil works cost</t>
  </si>
  <si>
    <t>TOTAL PROJECT COST</t>
  </si>
  <si>
    <t>OPERATIONS</t>
  </si>
  <si>
    <t>TARIFF</t>
  </si>
  <si>
    <t>ASSOCIATED COSTS</t>
  </si>
  <si>
    <t>TAXATION &amp; INCENTIVES</t>
  </si>
  <si>
    <t>DEPRECIATION RATES</t>
  </si>
  <si>
    <t>PROJECT COST (MILLION INR)</t>
  </si>
  <si>
    <t>Year</t>
  </si>
  <si>
    <t>Outflow</t>
  </si>
  <si>
    <t xml:space="preserve">Calculation of Depreciation </t>
  </si>
  <si>
    <t>Civil works</t>
  </si>
  <si>
    <t>Salvage value for electrical &amp; mechanical works</t>
  </si>
  <si>
    <t>Salvage value for civil works</t>
  </si>
  <si>
    <t>Total salvage value</t>
  </si>
  <si>
    <t>Net working capital</t>
  </si>
  <si>
    <t>Financial year</t>
  </si>
  <si>
    <t>Investment decision date</t>
  </si>
  <si>
    <t>Interest on working capital</t>
  </si>
  <si>
    <t xml:space="preserve">Cost of Equity - Real </t>
  </si>
  <si>
    <t>Cost of equity - Nominal</t>
  </si>
  <si>
    <t xml:space="preserve">The formula for nominal rate of return (R) is (1+r)*(1+q)-1, where ‘r’ stands for real rate of return and ‘q’ stands for inflation. </t>
  </si>
  <si>
    <r>
      <t>Inflation rate</t>
    </r>
    <r>
      <rPr>
        <b/>
        <vertAlign val="subscript"/>
        <sz val="9"/>
        <color indexed="8"/>
        <rFont val="Arial"/>
        <family val="2"/>
      </rPr>
      <t>India</t>
    </r>
  </si>
  <si>
    <t>Web sources/Comments</t>
  </si>
  <si>
    <t>Assumed commissioning date</t>
  </si>
  <si>
    <t>Transmission Works</t>
  </si>
  <si>
    <t>Interest during construction</t>
  </si>
  <si>
    <t>Financial charges</t>
  </si>
  <si>
    <t>Sum of (a) + (b)</t>
  </si>
  <si>
    <t xml:space="preserve">Estimation of Interest on Term Loan </t>
  </si>
  <si>
    <t>(Rs.Million)</t>
  </si>
  <si>
    <t>Years</t>
  </si>
  <si>
    <t>Int</t>
  </si>
  <si>
    <t>Interest</t>
  </si>
  <si>
    <t>Annual Installment</t>
  </si>
  <si>
    <t>I</t>
  </si>
  <si>
    <t>III</t>
  </si>
  <si>
    <t>IV</t>
  </si>
  <si>
    <t>II</t>
  </si>
  <si>
    <t>LOAN DETAILS</t>
  </si>
  <si>
    <t>Debt</t>
  </si>
  <si>
    <t>Rate of Interest</t>
  </si>
  <si>
    <t>Loan Repayment Period</t>
  </si>
  <si>
    <t>Interest on Term Loan</t>
  </si>
  <si>
    <t xml:space="preserve">Power Tariff (per KWh) </t>
  </si>
  <si>
    <t>Apportionment of Escalation + IDC + Financial Charges + LADC</t>
  </si>
  <si>
    <t>Particulars</t>
  </si>
  <si>
    <t>Actual Cost</t>
  </si>
  <si>
    <t>Escalation, IDC, Financial Charges &amp; LADC</t>
  </si>
  <si>
    <t>Total</t>
  </si>
  <si>
    <t>Rs. Million</t>
  </si>
  <si>
    <t xml:space="preserve"> Civil</t>
  </si>
  <si>
    <t xml:space="preserve"> Electro Mechanical Equipment</t>
  </si>
  <si>
    <t xml:space="preserve"> Transmission works</t>
  </si>
  <si>
    <t>Salvage value for transmission works</t>
  </si>
  <si>
    <t>Cash Outflow</t>
  </si>
  <si>
    <t>Post Tax Equity IRR</t>
  </si>
  <si>
    <t xml:space="preserve">(a) Total core cost </t>
  </si>
  <si>
    <t>(b) Preoperative and miscellaneous expenses</t>
  </si>
  <si>
    <r>
      <rPr>
        <b/>
        <i/>
        <sz val="9"/>
        <rFont val="Arial"/>
        <family val="2"/>
      </rPr>
      <t xml:space="preserve">(c) </t>
    </r>
    <r>
      <rPr>
        <i/>
        <sz val="9"/>
        <rFont val="Arial"/>
        <family val="2"/>
      </rPr>
      <t>LADC @ 1% of (a) + (b)</t>
    </r>
  </si>
  <si>
    <t>Sum of (a), (b) and ©</t>
  </si>
  <si>
    <t>Losses (Auxiliary consumption 0.5%, Transmission Losses 2%, Transformation Lossses 0.5%and Outage 5%)</t>
  </si>
  <si>
    <t>Techno Economic Clearance</t>
  </si>
  <si>
    <t>Plant Load Factor</t>
  </si>
  <si>
    <t>Gross Generation in MWh /year</t>
  </si>
  <si>
    <t>Net annual generation in MWh / year</t>
  </si>
  <si>
    <t>Equity IRR</t>
  </si>
  <si>
    <t>Minimum Alternate Tax at 20%</t>
  </si>
  <si>
    <t>MAT credit used in the current year</t>
  </si>
  <si>
    <t>MAT credit brought forward from the previous year</t>
  </si>
  <si>
    <t>MAT credit carried forward to the next year</t>
  </si>
  <si>
    <t xml:space="preserve">Tax Payable </t>
  </si>
  <si>
    <t>Calculated from DPR</t>
  </si>
  <si>
    <t>Schedule XIV of Companies Act, 1956
http://www.mca.gov.in/Ministry/latestnews/Explanatory_Statement_alongwith_Schedule_XIV_4dec2008.pdf</t>
  </si>
  <si>
    <t>%</t>
  </si>
  <si>
    <t>Page Number 4</t>
  </si>
  <si>
    <t>http://www.mca.gov.in/Ministry/notification/pdf/AS_22.pdf</t>
  </si>
  <si>
    <t>Page Number 19</t>
  </si>
  <si>
    <t>Million (INR)</t>
  </si>
  <si>
    <t>Page Number 7</t>
  </si>
  <si>
    <t>Unit</t>
  </si>
  <si>
    <t>MW</t>
  </si>
  <si>
    <t>MWh/Year</t>
  </si>
  <si>
    <t>Rs./ kWh</t>
  </si>
  <si>
    <t>Quarters</t>
  </si>
  <si>
    <t>Outstanding Balance</t>
  </si>
  <si>
    <t>Current Balance</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</si>
  <si>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</si>
  <si>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</si>
  <si>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</si>
  <si>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</si>
  <si>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</si>
  <si>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</si>
  <si>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</si>
  <si>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</si>
  <si>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</si>
  <si>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</si>
  <si>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</si>
  <si>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</si>
  <si>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</si>
  <si>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</si>
  <si>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</si>
  <si>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</si>
  <si>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</si>
  <si>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</si>
  <si>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</si>
  <si>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1</t>
  </si>
  <si>
    <t>Year -1</t>
  </si>
  <si>
    <t>Year -2</t>
  </si>
  <si>
    <t>Year -3</t>
  </si>
  <si>
    <t>Total Capital Subsidy 
( Rs.20 million for 1st MW+ (add. Cap.)*3 Mill)</t>
  </si>
  <si>
    <t>Debt Repayment</t>
  </si>
  <si>
    <t xml:space="preserve">Year 2 </t>
  </si>
  <si>
    <t>Total Cash Outflow                   (A)</t>
  </si>
  <si>
    <t xml:space="preserve">Principal repayment                 </t>
  </si>
  <si>
    <t>Total Cash inflow                      (B)</t>
  </si>
  <si>
    <t>Net cash flows           (B-A)</t>
  </si>
  <si>
    <t>80 IA applicable (if Yes =1, No =0)</t>
  </si>
  <si>
    <t>Income Tax at 32.45%</t>
  </si>
  <si>
    <t>Breaching Value</t>
  </si>
  <si>
    <t>Result of Sensitivity Analysis</t>
  </si>
  <si>
    <t>Parameters</t>
  </si>
  <si>
    <t>Value</t>
  </si>
  <si>
    <t>Royalty to be paid to Himachal pradesh Govt. by PP</t>
  </si>
  <si>
    <t>Working Capital Requirement</t>
  </si>
  <si>
    <t>Period in Months of O&amp;M Expenses</t>
  </si>
  <si>
    <t>Period in Months of Receivables Revenue</t>
  </si>
  <si>
    <t>Month</t>
  </si>
  <si>
    <t>http://www.cercind.gov.in/2010/November/Signed_Order_256-2010_RE_Tariff_FY_11-12.pdf</t>
  </si>
  <si>
    <t>Page 29, Point 32</t>
  </si>
  <si>
    <t>Moratirium Period</t>
  </si>
  <si>
    <t>DPR (Chapter 18, Page Number 170 &amp; Page Number 171)</t>
  </si>
  <si>
    <t>Page 62, Point 3</t>
  </si>
  <si>
    <t>Equity</t>
  </si>
  <si>
    <t>O&amp;M cost (% of project cost)</t>
  </si>
  <si>
    <t>Minimum Alternate Tax</t>
  </si>
  <si>
    <t>DPR (Chapter 18, Page Number 2)</t>
  </si>
  <si>
    <t>4 MW Small Hydro Project by The Shansha Hydro Power Project Co-Operative Society Ltd.</t>
  </si>
  <si>
    <t>DPR</t>
  </si>
  <si>
    <t>Lahual &amp; Spiti,  Himachal Pradesh</t>
  </si>
  <si>
    <t>The Shansha Hydro Power Project Co-Operative Society Ltd.</t>
  </si>
  <si>
    <t>Royalty charges for first 12 years</t>
  </si>
  <si>
    <t>Free Power for LADF</t>
  </si>
  <si>
    <t>Post-Commissioning LADF Contribution</t>
  </si>
  <si>
    <r>
      <t xml:space="preserve">As per "Investment Analysis, Version 06, EB 85, Annex 12" the project activity falls under </t>
    </r>
    <r>
      <rPr>
        <b/>
        <sz val="9"/>
        <color indexed="8"/>
        <rFont val="Arial"/>
        <family val="2"/>
      </rPr>
      <t xml:space="preserve">Group I </t>
    </r>
    <r>
      <rPr>
        <sz val="9"/>
        <color indexed="8"/>
        <rFont val="Arial"/>
        <family val="2"/>
      </rPr>
      <t>as mentioned in</t>
    </r>
    <r>
      <rPr>
        <b/>
        <sz val="9"/>
        <color indexed="8"/>
        <rFont val="Arial"/>
        <family val="2"/>
      </rPr>
      <t xml:space="preserve"> Table 1</t>
    </r>
  </si>
  <si>
    <t>Table 1 of "Investment Analysis, Version 06, Annex 12, EB 85</t>
  </si>
  <si>
    <t xml:space="preserve">Annex 12, EB 85 states, “In situations where an investment analysis is carried out in nominal terms and the available IRR benchmarks are in real terms, project participants can convert the real term values provided in the table below to nominal values by adding the inflation rate. The inflation rate shall be obtained from the inflation forecast of the central bank of the host country for the duration of the crediting period. 
</t>
  </si>
  <si>
    <t xml:space="preserve">HPERC Tariff Order </t>
  </si>
  <si>
    <t>Royalty to Govt.  from 13th Year</t>
  </si>
  <si>
    <t>https://www.wirc-icai.org/(X(1)S(kve5eiq0brs1h4ea45ccvt55))/material/Tax-matters-for-Mutual-Fund-18022012.pdf</t>
  </si>
  <si>
    <t xml:space="preserve"> http://mnre.gov.in/file-manager/UserFiles/presentations-pwc-workshop-06092012/IREDA.pdf</t>
  </si>
  <si>
    <t>Escalation till BaseYear 2011</t>
  </si>
  <si>
    <t>Survey of Professional Forecasters: Results of Twenty First Round (Q2:2012-13) dated 29 Oct 2012
Ten-year forecasts by RBI for Wholesale Price Index has been taken as the proxy for inflation rate (https://www.rbi.org.in/scripts/QuarterlyPublications.aspx?head=Survey+of+Professional+Forecasters)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</si>
</sst>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
    <numFmt numFmtId="165" formatCode="0.000"/>
    <numFmt numFmtId="166" formatCode="0.0%"/>
    <numFmt numFmtId="167" formatCode="_(* #,##0_);_(* \(#,##0\);_(* &quot;-&quot;??_);_(@_)"/>
    <numFmt numFmtId="168" formatCode="[$-409]d\-mmm\-yy;@"/>
    <numFmt numFmtId="169" formatCode="0.00_)"/>
    <numFmt numFmtId="170" formatCode="_(* #,##0.000_);_(* \(#,##0.000\);_(* &quot;-&quot;??_);_(@_)"/>
    <numFmt numFmtId="171" formatCode="0.000%"/>
  </numFmts>
  <fonts count="32" x14ac:knownFonts="1">
    <font>
      <sz val="10"/>
      <name val="Arial"/>
    </font>
    <font>
      <sz val="10"/>
      <name val="Arial"/>
      <family val="2"/>
    </font>
    <font>
      <u/>
      <sz val="10"/>
      <color indexed="12"/>
      <name val="Arial"/>
      <family val="2"/>
    </font>
    <font>
      <sz val="10"/>
      <name val="Arial"/>
      <family val="2"/>
    </font>
    <font>
      <b/>
      <sz val="10"/>
      <name val="Arial"/>
      <family val="2"/>
    </font>
    <font>
      <sz val="10"/>
      <color indexed="8"/>
      <name val="Arial"/>
      <family val="2"/>
    </font>
    <font>
      <i/>
      <sz val="10"/>
      <name val="Arial"/>
      <family val="2"/>
    </font>
    <font>
      <b/>
      <sz val="10"/>
      <color indexed="8"/>
      <name val="Arial"/>
      <family val="2"/>
    </font>
    <font>
      <b/>
      <i/>
      <sz val="10"/>
      <color indexed="8"/>
      <name val="Arial"/>
      <family val="2"/>
    </font>
    <font>
      <i/>
      <sz val="10"/>
      <color indexed="8"/>
      <name val="Arial"/>
      <family val="2"/>
    </font>
    <font>
      <b/>
      <sz val="11"/>
      <name val="Arial"/>
      <family val="2"/>
    </font>
    <font>
      <i/>
      <sz val="9"/>
      <name val="Arial"/>
      <family val="2"/>
    </font>
    <font>
      <sz val="11"/>
      <name val="Arial"/>
      <family val="2"/>
    </font>
    <font>
      <b/>
      <sz val="9"/>
      <name val="Arial"/>
      <family val="2"/>
    </font>
    <font>
      <sz val="9"/>
      <name val="Arial"/>
      <family val="2"/>
    </font>
    <font>
      <b/>
      <sz val="9"/>
      <color indexed="8"/>
      <name val="Arial"/>
      <family val="2"/>
    </font>
    <font>
      <sz val="9"/>
      <color indexed="8"/>
      <name val="Arial"/>
      <family val="2"/>
    </font>
    <font>
      <i/>
      <u/>
      <sz val="9"/>
      <name val="Arial"/>
      <family val="2"/>
    </font>
    <font>
      <b/>
      <sz val="8"/>
      <name val="Arial"/>
      <family val="2"/>
    </font>
    <font>
      <b/>
      <i/>
      <sz val="9"/>
      <name val="Arial"/>
      <family val="2"/>
    </font>
    <font>
      <b/>
      <vertAlign val="subscript"/>
      <sz val="9"/>
      <color indexed="8"/>
      <name val="Arial"/>
      <family val="2"/>
    </font>
    <font>
      <b/>
      <sz val="9"/>
      <color theme="0"/>
      <name val="Arial"/>
      <family val="2"/>
    </font>
    <font>
      <sz val="9"/>
      <color theme="1"/>
      <name val="Arial"/>
      <family val="2"/>
    </font>
    <font>
      <b/>
      <sz val="9"/>
      <color theme="1"/>
      <name val="Arial"/>
      <family val="2"/>
    </font>
    <font>
      <b/>
      <sz val="10"/>
      <color rgb="FF000000"/>
      <name val="Tahoma"/>
      <family val="2"/>
    </font>
    <font>
      <sz val="9"/>
      <color theme="0"/>
      <name val="Arial"/>
      <family val="2"/>
    </font>
    <font>
      <b/>
      <sz val="10"/>
      <color theme="0"/>
      <name val="Arial"/>
      <family val="2"/>
    </font>
    <font>
      <b/>
      <sz val="11"/>
      <color theme="0"/>
      <name val="Arial"/>
      <family val="2"/>
    </font>
    <font>
      <sz val="10"/>
      <color theme="0"/>
      <name val="Arial"/>
      <family val="2"/>
    </font>
    <font>
      <i/>
      <sz val="9"/>
      <color theme="0"/>
      <name val="Arial"/>
      <family val="2"/>
    </font>
    <font>
      <sz val="11"/>
      <name val="Times New Roman"/>
      <family val="1"/>
    </font>
    <font>
      <i/>
      <sz val="11"/>
      <name val="Times New Roman"/>
      <family val="1"/>
    </font>
  </fonts>
  <fills count="6">
    <fill>
      <patternFill patternType="none"/>
    </fill>
    <fill>
      <patternFill patternType="gray125"/>
    </fill>
    <fill>
      <patternFill patternType="solid">
        <fgColor theme="0" tint="-0.249977111117893"/>
        <bgColor indexed="64"/>
      </patternFill>
    </fill>
    <fill>
      <patternFill patternType="solid">
        <fgColor rgb="FF002060"/>
        <bgColor indexed="64"/>
      </patternFill>
    </fill>
    <fill>
      <patternFill patternType="solid">
        <fgColor theme="0"/>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style="medium">
        <color indexed="64"/>
      </left>
      <right/>
      <top/>
      <bottom/>
      <diagonal/>
    </border>
    <border>
      <left style="thin">
        <color indexed="64"/>
      </left>
      <right style="medium">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s>
  <cellStyleXfs count="8">
    <xf numFmtId="0" fontId="0" fillId="0" borderId="0"/>
    <xf numFmtId="0" fontId="3" fillId="0" borderId="0" applyNumberForma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0" fontId="2" fillId="0" borderId="0" applyNumberFormat="0" applyFill="0" applyBorder="0" applyAlignment="0" applyProtection="0">
      <alignment vertical="top"/>
      <protection locked="0"/>
    </xf>
    <xf numFmtId="0" fontId="3" fillId="0" borderId="0"/>
    <xf numFmtId="9" fontId="1" fillId="0" borderId="0" applyFont="0" applyFill="0" applyBorder="0" applyAlignment="0" applyProtection="0"/>
    <xf numFmtId="9" fontId="3" fillId="0" borderId="0" applyFont="0" applyFill="0" applyBorder="0" applyAlignment="0" applyProtection="0"/>
  </cellStyleXfs>
  <cellXfs count="308">
    <xf numFmtId="0" fontId="0" fillId="0" borderId="0" xfId="0"/>
    <xf numFmtId="0" fontId="3" fillId="0" borderId="0" xfId="0" applyFont="1" applyFill="1"/>
    <xf numFmtId="0" fontId="3" fillId="0" borderId="0" xfId="0" applyFont="1" applyFill="1" applyBorder="1"/>
    <xf numFmtId="0" fontId="3" fillId="0" borderId="1" xfId="0" applyFont="1" applyFill="1" applyBorder="1"/>
    <xf numFmtId="2" fontId="3" fillId="0" borderId="0" xfId="0" applyNumberFormat="1" applyFont="1" applyFill="1"/>
    <xf numFmtId="0" fontId="3" fillId="0" borderId="2"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4" fillId="0" borderId="3" xfId="0" applyFont="1" applyFill="1" applyBorder="1" applyAlignment="1">
      <alignment vertical="center"/>
    </xf>
    <xf numFmtId="0" fontId="4" fillId="0" borderId="1" xfId="0" applyFont="1" applyFill="1" applyBorder="1" applyAlignment="1">
      <alignment vertical="center"/>
    </xf>
    <xf numFmtId="0" fontId="3" fillId="0" borderId="2" xfId="0" applyFont="1" applyFill="1" applyBorder="1"/>
    <xf numFmtId="43" fontId="3" fillId="0" borderId="1" xfId="2" applyFont="1" applyFill="1" applyBorder="1"/>
    <xf numFmtId="0" fontId="6" fillId="0" borderId="0" xfId="0" applyFont="1" applyFill="1" applyBorder="1"/>
    <xf numFmtId="2" fontId="6" fillId="0" borderId="0" xfId="0" applyNumberFormat="1" applyFont="1" applyFill="1" applyBorder="1"/>
    <xf numFmtId="43" fontId="3" fillId="0" borderId="2" xfId="2" applyFont="1" applyFill="1" applyBorder="1"/>
    <xf numFmtId="43" fontId="4" fillId="0" borderId="1" xfId="2" applyFont="1" applyFill="1" applyBorder="1"/>
    <xf numFmtId="0" fontId="3" fillId="0" borderId="4" xfId="0" applyFont="1" applyFill="1" applyBorder="1"/>
    <xf numFmtId="0" fontId="4" fillId="0" borderId="5" xfId="0" applyFont="1" applyFill="1" applyBorder="1"/>
    <xf numFmtId="10" fontId="3" fillId="0" borderId="0" xfId="0" applyNumberFormat="1" applyFont="1" applyFill="1" applyAlignment="1">
      <alignment vertical="center"/>
    </xf>
    <xf numFmtId="2" fontId="3" fillId="0" borderId="0" xfId="0" applyNumberFormat="1" applyFont="1" applyFill="1" applyBorder="1" applyAlignment="1">
      <alignment vertical="center"/>
    </xf>
    <xf numFmtId="43" fontId="4" fillId="0" borderId="5" xfId="2" applyFont="1" applyFill="1" applyBorder="1"/>
    <xf numFmtId="165" fontId="3" fillId="0" borderId="0" xfId="0" applyNumberFormat="1" applyFont="1" applyFill="1" applyBorder="1" applyAlignment="1">
      <alignment vertical="center"/>
    </xf>
    <xf numFmtId="17" fontId="3" fillId="0" borderId="6" xfId="0" applyNumberFormat="1" applyFont="1" applyFill="1" applyBorder="1" applyAlignment="1">
      <alignment horizontal="center" vertical="center"/>
    </xf>
    <xf numFmtId="43" fontId="3" fillId="0" borderId="1" xfId="2" applyFont="1" applyFill="1" applyBorder="1" applyAlignment="1">
      <alignment vertical="center"/>
    </xf>
    <xf numFmtId="43" fontId="5" fillId="0" borderId="7" xfId="2" applyFont="1" applyFill="1" applyBorder="1" applyAlignment="1">
      <alignment vertical="center"/>
    </xf>
    <xf numFmtId="0" fontId="7" fillId="0" borderId="1" xfId="0" applyFont="1" applyFill="1" applyBorder="1" applyAlignment="1">
      <alignment vertical="center"/>
    </xf>
    <xf numFmtId="43" fontId="7" fillId="0" borderId="1" xfId="2" applyFont="1" applyFill="1" applyBorder="1" applyAlignment="1">
      <alignment vertical="center"/>
    </xf>
    <xf numFmtId="0" fontId="5" fillId="0" borderId="1" xfId="0" applyFont="1" applyFill="1" applyBorder="1" applyAlignment="1">
      <alignment vertical="center"/>
    </xf>
    <xf numFmtId="165" fontId="5" fillId="0" borderId="1" xfId="0" applyNumberFormat="1" applyFont="1" applyFill="1" applyBorder="1" applyAlignment="1">
      <alignment vertical="center"/>
    </xf>
    <xf numFmtId="43" fontId="5" fillId="0" borderId="1" xfId="2" applyFont="1" applyFill="1" applyBorder="1" applyAlignment="1">
      <alignment vertical="center"/>
    </xf>
    <xf numFmtId="10" fontId="3" fillId="0" borderId="0" xfId="6" applyNumberFormat="1" applyFont="1" applyFill="1" applyAlignment="1">
      <alignment vertical="center"/>
    </xf>
    <xf numFmtId="43" fontId="3" fillId="0" borderId="0" xfId="2" applyFont="1" applyFill="1" applyAlignment="1">
      <alignment vertical="center"/>
    </xf>
    <xf numFmtId="0" fontId="7" fillId="0" borderId="7" xfId="0" applyFont="1" applyFill="1" applyBorder="1" applyAlignment="1">
      <alignment vertical="center"/>
    </xf>
    <xf numFmtId="43" fontId="8" fillId="0" borderId="7" xfId="2" applyFont="1" applyFill="1" applyBorder="1" applyAlignment="1">
      <alignment vertical="center"/>
    </xf>
    <xf numFmtId="43" fontId="8" fillId="0" borderId="7" xfId="2" applyNumberFormat="1" applyFont="1" applyFill="1" applyBorder="1" applyAlignment="1">
      <alignment vertical="center"/>
    </xf>
    <xf numFmtId="0" fontId="3" fillId="0" borderId="8" xfId="0" applyFont="1" applyFill="1" applyBorder="1" applyAlignment="1">
      <alignment vertical="center"/>
    </xf>
    <xf numFmtId="0" fontId="3" fillId="0" borderId="4" xfId="0" applyFont="1" applyFill="1" applyBorder="1" applyAlignment="1">
      <alignment vertical="center"/>
    </xf>
    <xf numFmtId="10" fontId="3" fillId="0" borderId="4" xfId="6" applyNumberFormat="1" applyFont="1" applyFill="1" applyBorder="1" applyAlignment="1">
      <alignment vertical="center"/>
    </xf>
    <xf numFmtId="0" fontId="3" fillId="0" borderId="9" xfId="0" applyFont="1" applyFill="1" applyBorder="1" applyAlignment="1">
      <alignment vertical="center"/>
    </xf>
    <xf numFmtId="43" fontId="3" fillId="0" borderId="0" xfId="0" applyNumberFormat="1" applyFont="1" applyFill="1" applyAlignment="1">
      <alignment vertical="center"/>
    </xf>
    <xf numFmtId="0" fontId="3" fillId="0" borderId="7" xfId="0" applyFont="1" applyFill="1" applyBorder="1" applyAlignment="1">
      <alignment vertical="center"/>
    </xf>
    <xf numFmtId="43" fontId="5" fillId="0" borderId="6" xfId="2" applyFont="1" applyFill="1" applyBorder="1" applyAlignment="1">
      <alignment vertical="center"/>
    </xf>
    <xf numFmtId="0" fontId="7" fillId="0" borderId="1" xfId="0" applyFont="1" applyFill="1" applyBorder="1" applyAlignment="1">
      <alignment horizontal="left" vertical="center"/>
    </xf>
    <xf numFmtId="43" fontId="9" fillId="0" borderId="10" xfId="2" applyFont="1" applyFill="1" applyBorder="1" applyAlignment="1">
      <alignment vertical="center"/>
    </xf>
    <xf numFmtId="43" fontId="5" fillId="0" borderId="10" xfId="2" applyFont="1" applyFill="1" applyBorder="1" applyAlignment="1">
      <alignment vertical="center"/>
    </xf>
    <xf numFmtId="16" fontId="3" fillId="0" borderId="0" xfId="0" quotePrefix="1" applyNumberFormat="1" applyFont="1" applyFill="1" applyAlignment="1">
      <alignment vertical="center"/>
    </xf>
    <xf numFmtId="0" fontId="3" fillId="0" borderId="1" xfId="0" applyFont="1" applyFill="1" applyBorder="1" applyAlignment="1">
      <alignment horizontal="left" vertical="center" indent="1"/>
    </xf>
    <xf numFmtId="0" fontId="5" fillId="0" borderId="1" xfId="0" applyFont="1" applyFill="1" applyBorder="1" applyAlignment="1">
      <alignment horizontal="left" vertical="center" indent="1"/>
    </xf>
    <xf numFmtId="43" fontId="7" fillId="0" borderId="5" xfId="2" applyFont="1" applyFill="1" applyBorder="1" applyAlignment="1">
      <alignment vertical="center"/>
    </xf>
    <xf numFmtId="10" fontId="10" fillId="2" borderId="5" xfId="0" applyNumberFormat="1" applyFont="1" applyFill="1" applyBorder="1" applyAlignment="1">
      <alignment vertical="center"/>
    </xf>
    <xf numFmtId="167" fontId="3" fillId="0" borderId="6" xfId="0" applyNumberFormat="1" applyFont="1" applyFill="1" applyBorder="1" applyAlignment="1">
      <alignment vertical="center"/>
    </xf>
    <xf numFmtId="168" fontId="4" fillId="0" borderId="3" xfId="0" applyNumberFormat="1" applyFont="1" applyFill="1" applyBorder="1" applyAlignment="1">
      <alignment vertical="center"/>
    </xf>
    <xf numFmtId="0" fontId="4" fillId="2" borderId="5" xfId="0" applyFont="1" applyFill="1" applyBorder="1" applyAlignment="1">
      <alignment horizontal="left" vertical="center" indent="1"/>
    </xf>
    <xf numFmtId="168" fontId="4" fillId="0" borderId="5" xfId="0" applyNumberFormat="1" applyFont="1" applyFill="1" applyBorder="1" applyAlignment="1">
      <alignment vertical="center"/>
    </xf>
    <xf numFmtId="0" fontId="12" fillId="0" borderId="0" xfId="0" applyFont="1" applyFill="1" applyAlignment="1">
      <alignment vertical="center"/>
    </xf>
    <xf numFmtId="0" fontId="12" fillId="0" borderId="0" xfId="0" applyFont="1"/>
    <xf numFmtId="0" fontId="21" fillId="3" borderId="11" xfId="0" applyFont="1" applyFill="1" applyBorder="1" applyAlignment="1" applyProtection="1">
      <alignment horizontal="left" vertical="center" wrapText="1" indent="1"/>
    </xf>
    <xf numFmtId="0" fontId="13" fillId="0" borderId="0" xfId="0" applyFont="1" applyFill="1" applyBorder="1" applyAlignment="1" applyProtection="1">
      <alignment vertical="center"/>
    </xf>
    <xf numFmtId="0" fontId="14" fillId="0" borderId="0" xfId="0" applyFont="1" applyFill="1" applyAlignment="1" applyProtection="1">
      <alignment vertical="center"/>
    </xf>
    <xf numFmtId="0" fontId="13" fillId="0" borderId="12" xfId="0" applyFont="1" applyFill="1" applyBorder="1" applyAlignment="1" applyProtection="1">
      <alignment horizontal="left" vertical="center" wrapText="1" indent="1"/>
    </xf>
    <xf numFmtId="0" fontId="14" fillId="0" borderId="0" xfId="0" applyFont="1" applyFill="1" applyBorder="1" applyAlignment="1" applyProtection="1">
      <alignment horizontal="left" vertical="center"/>
    </xf>
    <xf numFmtId="0" fontId="13" fillId="0" borderId="13" xfId="0" applyFont="1" applyFill="1" applyBorder="1" applyAlignment="1" applyProtection="1">
      <alignment horizontal="center" vertical="center"/>
    </xf>
    <xf numFmtId="0" fontId="13" fillId="0" borderId="14" xfId="0" applyFont="1" applyFill="1" applyBorder="1" applyAlignment="1" applyProtection="1">
      <alignment horizontal="center" vertical="center"/>
    </xf>
    <xf numFmtId="0" fontId="13" fillId="0" borderId="15" xfId="0" applyFont="1" applyFill="1" applyBorder="1" applyAlignment="1" applyProtection="1">
      <alignment horizontal="center" vertical="center"/>
    </xf>
    <xf numFmtId="0" fontId="14" fillId="0" borderId="12" xfId="0" applyFont="1" applyFill="1" applyBorder="1" applyAlignment="1" applyProtection="1">
      <alignment horizontal="left" vertical="center"/>
    </xf>
    <xf numFmtId="9" fontId="14" fillId="0" borderId="0" xfId="6" applyFont="1" applyFill="1" applyBorder="1" applyAlignment="1" applyProtection="1">
      <alignment horizontal="center" vertical="center"/>
    </xf>
    <xf numFmtId="0" fontId="14" fillId="0" borderId="0" xfId="0" applyFont="1" applyFill="1" applyBorder="1" applyAlignment="1" applyProtection="1">
      <alignment vertical="center"/>
    </xf>
    <xf numFmtId="0" fontId="15" fillId="0" borderId="12" xfId="0" applyFont="1" applyFill="1" applyBorder="1" applyAlignment="1" applyProtection="1">
      <alignment horizontal="left" vertical="center" wrapText="1" indent="1"/>
    </xf>
    <xf numFmtId="10" fontId="13" fillId="0" borderId="0" xfId="6" applyNumberFormat="1" applyFont="1" applyFill="1" applyBorder="1" applyAlignment="1" applyProtection="1">
      <alignment horizontal="center" vertical="center"/>
    </xf>
    <xf numFmtId="0" fontId="15" fillId="0" borderId="0" xfId="0" applyFont="1" applyFill="1" applyBorder="1" applyAlignment="1" applyProtection="1">
      <alignment horizontal="left" vertical="center" wrapText="1" indent="1"/>
    </xf>
    <xf numFmtId="2" fontId="14" fillId="0" borderId="0" xfId="0" applyNumberFormat="1" applyFont="1" applyFill="1" applyBorder="1" applyAlignment="1" applyProtection="1">
      <alignment horizontal="left" vertical="center"/>
    </xf>
    <xf numFmtId="0" fontId="21" fillId="3" borderId="0" xfId="0" applyFont="1" applyFill="1" applyBorder="1" applyAlignment="1" applyProtection="1">
      <alignment horizontal="left" vertical="center" wrapText="1" indent="1"/>
    </xf>
    <xf numFmtId="0" fontId="21" fillId="3" borderId="0" xfId="0" applyFont="1" applyFill="1" applyBorder="1" applyAlignment="1" applyProtection="1">
      <alignment vertical="center"/>
    </xf>
    <xf numFmtId="0" fontId="21" fillId="0" borderId="0" xfId="0" applyFont="1" applyFill="1" applyBorder="1" applyAlignment="1" applyProtection="1">
      <alignment horizontal="left" vertical="center" wrapText="1" indent="1"/>
    </xf>
    <xf numFmtId="0" fontId="21" fillId="0" borderId="0" xfId="0" applyFont="1" applyFill="1" applyBorder="1" applyAlignment="1" applyProtection="1">
      <alignment vertical="center"/>
    </xf>
    <xf numFmtId="0" fontId="13" fillId="0" borderId="0" xfId="0" applyFont="1" applyFill="1" applyAlignment="1" applyProtection="1">
      <alignment horizontal="left" vertical="center" wrapText="1" indent="1"/>
    </xf>
    <xf numFmtId="9" fontId="14" fillId="0" borderId="0" xfId="0" applyNumberFormat="1" applyFont="1" applyFill="1" applyBorder="1" applyAlignment="1" applyProtection="1">
      <alignment vertical="center"/>
    </xf>
    <xf numFmtId="0" fontId="14" fillId="0" borderId="0" xfId="0" applyFont="1" applyFill="1" applyBorder="1" applyAlignment="1" applyProtection="1">
      <alignment horizontal="left" vertical="center" wrapText="1" indent="1"/>
    </xf>
    <xf numFmtId="0" fontId="13" fillId="0" borderId="0" xfId="0" applyFont="1" applyFill="1" applyAlignment="1" applyProtection="1"/>
    <xf numFmtId="2" fontId="14" fillId="0" borderId="0" xfId="6" applyNumberFormat="1" applyFont="1" applyFill="1" applyBorder="1" applyAlignment="1" applyProtection="1">
      <alignment vertical="center"/>
    </xf>
    <xf numFmtId="2" fontId="14" fillId="0" borderId="0" xfId="0" applyNumberFormat="1" applyFont="1" applyFill="1" applyBorder="1" applyAlignment="1" applyProtection="1">
      <alignment vertical="center"/>
    </xf>
    <xf numFmtId="0" fontId="16" fillId="0" borderId="0" xfId="0" applyFont="1" applyFill="1" applyBorder="1" applyAlignment="1" applyProtection="1">
      <alignment horizontal="left" vertical="center" wrapText="1" indent="1"/>
    </xf>
    <xf numFmtId="166" fontId="14" fillId="0" borderId="0" xfId="0" applyNumberFormat="1" applyFont="1" applyFill="1" applyBorder="1" applyAlignment="1" applyProtection="1">
      <alignment vertical="center"/>
    </xf>
    <xf numFmtId="0" fontId="14" fillId="0" borderId="0" xfId="0" applyFont="1" applyFill="1" applyBorder="1" applyAlignment="1" applyProtection="1">
      <alignment vertical="center" wrapText="1"/>
    </xf>
    <xf numFmtId="2" fontId="14" fillId="0" borderId="0" xfId="0" applyNumberFormat="1" applyFont="1" applyFill="1" applyBorder="1" applyAlignment="1" applyProtection="1">
      <alignment vertical="center" wrapText="1"/>
    </xf>
    <xf numFmtId="2" fontId="14" fillId="0" borderId="0" xfId="0" applyNumberFormat="1" applyFont="1" applyFill="1" applyBorder="1" applyAlignment="1" applyProtection="1">
      <alignment horizontal="right" vertical="center" wrapText="1"/>
    </xf>
    <xf numFmtId="0" fontId="14" fillId="0" borderId="0" xfId="0" applyFont="1" applyFill="1" applyAlignment="1" applyProtection="1">
      <alignment horizontal="left" vertical="center" wrapText="1" indent="1"/>
    </xf>
    <xf numFmtId="3" fontId="14" fillId="0" borderId="0" xfId="0" applyNumberFormat="1" applyFont="1" applyFill="1" applyAlignment="1" applyProtection="1">
      <alignment vertical="center"/>
    </xf>
    <xf numFmtId="0" fontId="14" fillId="0" borderId="0" xfId="0" applyFont="1" applyFill="1" applyBorder="1" applyAlignment="1" applyProtection="1">
      <alignment horizontal="left" wrapText="1" indent="1"/>
    </xf>
    <xf numFmtId="2" fontId="14" fillId="0" borderId="0" xfId="0" applyNumberFormat="1" applyFont="1" applyFill="1" applyBorder="1" applyProtection="1"/>
    <xf numFmtId="0" fontId="14" fillId="0" borderId="0" xfId="0" applyFont="1" applyFill="1" applyProtection="1"/>
    <xf numFmtId="0" fontId="14" fillId="0" borderId="0" xfId="0" applyFont="1" applyFill="1" applyBorder="1" applyProtection="1"/>
    <xf numFmtId="43" fontId="14" fillId="0" borderId="0" xfId="2" applyFont="1" applyFill="1" applyBorder="1" applyProtection="1"/>
    <xf numFmtId="168" fontId="13" fillId="0" borderId="0" xfId="0" applyNumberFormat="1" applyFont="1" applyFill="1" applyBorder="1" applyProtection="1"/>
    <xf numFmtId="0" fontId="13" fillId="0" borderId="0" xfId="0" applyFont="1" applyFill="1" applyAlignment="1" applyProtection="1">
      <alignment vertical="center"/>
    </xf>
    <xf numFmtId="0" fontId="14" fillId="0" borderId="0" xfId="0" applyFont="1" applyBorder="1" applyAlignment="1" applyProtection="1">
      <alignment horizontal="center" vertical="top" wrapText="1"/>
    </xf>
    <xf numFmtId="0" fontId="21" fillId="3" borderId="0" xfId="0" applyFont="1" applyFill="1" applyBorder="1" applyAlignment="1" applyProtection="1">
      <alignment horizontal="center" vertical="top" wrapText="1"/>
    </xf>
    <xf numFmtId="0" fontId="21" fillId="0" borderId="0" xfId="0" applyFont="1" applyFill="1" applyBorder="1" applyAlignment="1" applyProtection="1">
      <alignment horizontal="center" vertical="top" wrapText="1"/>
    </xf>
    <xf numFmtId="0" fontId="14" fillId="0" borderId="0" xfId="0" applyFont="1" applyFill="1" applyAlignment="1" applyProtection="1">
      <alignment horizontal="center" vertical="center" wrapText="1"/>
    </xf>
    <xf numFmtId="0" fontId="17" fillId="0" borderId="0" xfId="0" applyFont="1" applyFill="1" applyBorder="1" applyAlignment="1" applyProtection="1">
      <alignment vertical="center" wrapText="1"/>
    </xf>
    <xf numFmtId="2" fontId="14" fillId="0" borderId="0" xfId="0" applyNumberFormat="1" applyFont="1" applyFill="1" applyAlignment="1" applyProtection="1">
      <alignment vertical="center"/>
    </xf>
    <xf numFmtId="2" fontId="14" fillId="0" borderId="0" xfId="6" applyNumberFormat="1" applyFont="1" applyFill="1" applyAlignment="1" applyProtection="1">
      <alignment vertical="center"/>
    </xf>
    <xf numFmtId="0" fontId="18" fillId="0" borderId="0" xfId="0" applyFont="1" applyFill="1" applyAlignment="1" applyProtection="1">
      <alignment horizontal="center" vertical="center" wrapText="1"/>
    </xf>
    <xf numFmtId="0" fontId="13" fillId="0" borderId="0" xfId="0" applyFont="1" applyFill="1" applyBorder="1" applyAlignment="1" applyProtection="1">
      <alignment horizontal="left" vertical="center" wrapText="1" indent="1"/>
    </xf>
    <xf numFmtId="2" fontId="13" fillId="0" borderId="14" xfId="0" applyNumberFormat="1" applyFont="1" applyFill="1" applyBorder="1" applyAlignment="1" applyProtection="1">
      <alignment vertical="center"/>
    </xf>
    <xf numFmtId="2" fontId="23" fillId="0" borderId="0" xfId="6" applyNumberFormat="1" applyFont="1" applyFill="1" applyBorder="1" applyAlignment="1" applyProtection="1">
      <alignment vertical="center"/>
    </xf>
    <xf numFmtId="2" fontId="13" fillId="0" borderId="14" xfId="0" applyNumberFormat="1" applyFont="1" applyFill="1" applyBorder="1" applyAlignment="1" applyProtection="1"/>
    <xf numFmtId="2" fontId="13" fillId="0" borderId="0" xfId="0" applyNumberFormat="1" applyFont="1" applyFill="1" applyBorder="1" applyAlignment="1" applyProtection="1">
      <alignment vertical="center"/>
    </xf>
    <xf numFmtId="0" fontId="13" fillId="0" borderId="0" xfId="0" applyFont="1" applyFill="1" applyBorder="1" applyAlignment="1" applyProtection="1">
      <alignment vertical="center" wrapText="1"/>
    </xf>
    <xf numFmtId="0" fontId="13" fillId="0" borderId="16" xfId="0" applyFont="1" applyFill="1" applyBorder="1" applyAlignment="1" applyProtection="1">
      <alignment horizontal="left" vertical="center" wrapText="1" indent="1"/>
    </xf>
    <xf numFmtId="168" fontId="13" fillId="0" borderId="0" xfId="0" applyNumberFormat="1" applyFont="1" applyFill="1" applyAlignment="1" applyProtection="1">
      <alignment horizontal="right" vertical="center"/>
    </xf>
    <xf numFmtId="0" fontId="13" fillId="0" borderId="0" xfId="0" applyFont="1" applyFill="1" applyAlignment="1" applyProtection="1">
      <alignment horizontal="right" vertical="center"/>
    </xf>
    <xf numFmtId="0" fontId="13" fillId="0" borderId="0" xfId="0" applyFont="1" applyFill="1" applyBorder="1" applyAlignment="1" applyProtection="1"/>
    <xf numFmtId="43" fontId="13" fillId="0" borderId="0" xfId="2" applyFont="1" applyFill="1" applyBorder="1" applyProtection="1"/>
    <xf numFmtId="43" fontId="13" fillId="0" borderId="14" xfId="2" applyFont="1" applyFill="1" applyBorder="1" applyProtection="1"/>
    <xf numFmtId="0" fontId="0" fillId="0" borderId="0" xfId="0" applyAlignment="1">
      <alignment vertical="center"/>
    </xf>
    <xf numFmtId="0" fontId="3" fillId="0" borderId="1" xfId="0" applyFont="1" applyFill="1" applyBorder="1" applyAlignment="1">
      <alignment vertical="center" wrapText="1"/>
    </xf>
    <xf numFmtId="168" fontId="14" fillId="0" borderId="0" xfId="0" applyNumberFormat="1" applyFont="1" applyFill="1" applyBorder="1" applyAlignment="1" applyProtection="1">
      <alignment horizontal="left" vertical="center"/>
    </xf>
    <xf numFmtId="0" fontId="13" fillId="0" borderId="0" xfId="0" applyFont="1" applyFill="1" applyAlignment="1" applyProtection="1">
      <alignment horizontal="left" vertical="center" wrapText="1"/>
    </xf>
    <xf numFmtId="0" fontId="14" fillId="0" borderId="0" xfId="0" applyFont="1" applyFill="1" applyBorder="1" applyAlignment="1" applyProtection="1">
      <alignment horizontal="left" wrapText="1"/>
    </xf>
    <xf numFmtId="0" fontId="13" fillId="0" borderId="0" xfId="0" applyFont="1" applyFill="1" applyBorder="1" applyAlignment="1" applyProtection="1">
      <alignment horizontal="left" wrapText="1"/>
    </xf>
    <xf numFmtId="43" fontId="7" fillId="0" borderId="15" xfId="2" applyFont="1" applyFill="1" applyBorder="1" applyAlignment="1">
      <alignment vertical="center"/>
    </xf>
    <xf numFmtId="0" fontId="3" fillId="0" borderId="1" xfId="0" applyFont="1" applyFill="1" applyBorder="1" applyAlignment="1">
      <alignment vertical="center"/>
    </xf>
    <xf numFmtId="43" fontId="4" fillId="0" borderId="6" xfId="2" applyFont="1" applyFill="1" applyBorder="1" applyAlignment="1">
      <alignment vertical="center"/>
    </xf>
    <xf numFmtId="10" fontId="4" fillId="0" borderId="9" xfId="6" applyNumberFormat="1" applyFont="1" applyFill="1" applyBorder="1" applyAlignment="1">
      <alignment vertical="center"/>
    </xf>
    <xf numFmtId="0" fontId="3" fillId="0" borderId="10" xfId="0" applyFont="1" applyFill="1" applyBorder="1" applyAlignment="1">
      <alignment vertical="center"/>
    </xf>
    <xf numFmtId="10" fontId="13" fillId="0" borderId="0" xfId="6" applyNumberFormat="1" applyFont="1" applyFill="1" applyBorder="1" applyAlignment="1" applyProtection="1">
      <alignment vertical="center"/>
    </xf>
    <xf numFmtId="0" fontId="14" fillId="0" borderId="11" xfId="0" applyFont="1" applyFill="1" applyBorder="1" applyAlignment="1" applyProtection="1">
      <alignment horizontal="left" vertical="center"/>
    </xf>
    <xf numFmtId="0" fontId="14" fillId="0" borderId="8" xfId="0" applyFont="1" applyFill="1" applyBorder="1" applyAlignment="1" applyProtection="1">
      <alignment horizontal="left" vertical="center"/>
    </xf>
    <xf numFmtId="168" fontId="11" fillId="0" borderId="6" xfId="0" applyNumberFormat="1" applyFont="1" applyFill="1" applyBorder="1" applyAlignment="1" applyProtection="1">
      <alignment horizontal="left" vertical="center"/>
    </xf>
    <xf numFmtId="0" fontId="13" fillId="0" borderId="0" xfId="0" applyFont="1" applyFill="1" applyAlignment="1" applyProtection="1">
      <alignment horizontal="center"/>
    </xf>
    <xf numFmtId="0" fontId="11" fillId="0" borderId="0" xfId="0" applyFont="1" applyFill="1" applyBorder="1" applyAlignment="1" applyProtection="1">
      <alignment horizontal="left" vertical="center" wrapText="1" indent="1"/>
    </xf>
    <xf numFmtId="0" fontId="4" fillId="0" borderId="5" xfId="0" applyFont="1" applyFill="1" applyBorder="1" applyAlignment="1">
      <alignment horizontal="left"/>
    </xf>
    <xf numFmtId="0" fontId="3" fillId="5" borderId="0" xfId="0" applyFont="1" applyFill="1" applyBorder="1" applyAlignment="1">
      <alignment horizontal="left"/>
    </xf>
    <xf numFmtId="0" fontId="3" fillId="5" borderId="0" xfId="0" applyFont="1" applyFill="1" applyBorder="1"/>
    <xf numFmtId="0" fontId="3" fillId="5" borderId="0" xfId="0" applyFont="1" applyFill="1"/>
    <xf numFmtId="0" fontId="4" fillId="5" borderId="0" xfId="0" applyFont="1" applyFill="1" applyBorder="1" applyAlignment="1">
      <alignment horizontal="center"/>
    </xf>
    <xf numFmtId="0" fontId="26" fillId="3" borderId="2" xfId="0" applyFont="1" applyFill="1" applyBorder="1" applyAlignment="1">
      <alignment horizontal="center" vertical="center" wrapText="1"/>
    </xf>
    <xf numFmtId="10" fontId="4" fillId="5" borderId="0" xfId="7" applyNumberFormat="1" applyFont="1" applyFill="1" applyBorder="1" applyAlignment="1">
      <alignment horizontal="center"/>
    </xf>
    <xf numFmtId="0" fontId="3" fillId="0" borderId="18" xfId="0" applyFont="1" applyFill="1" applyBorder="1" applyAlignment="1">
      <alignment horizontal="left"/>
    </xf>
    <xf numFmtId="0" fontId="3" fillId="0" borderId="12" xfId="0" applyFont="1" applyFill="1" applyBorder="1" applyAlignment="1">
      <alignment horizontal="left"/>
    </xf>
    <xf numFmtId="0" fontId="3" fillId="0" borderId="12" xfId="0" applyFont="1" applyFill="1" applyBorder="1" applyAlignment="1">
      <alignment horizontal="left" wrapText="1"/>
    </xf>
    <xf numFmtId="10" fontId="4" fillId="0" borderId="12" xfId="7" applyNumberFormat="1" applyFont="1" applyFill="1" applyBorder="1" applyAlignment="1">
      <alignment horizontal="center"/>
    </xf>
    <xf numFmtId="0" fontId="3" fillId="0" borderId="19" xfId="0" applyFont="1" applyFill="1" applyBorder="1" applyAlignment="1">
      <alignment horizontal="left"/>
    </xf>
    <xf numFmtId="0" fontId="3" fillId="5" borderId="0" xfId="0" applyFont="1" applyFill="1" applyBorder="1" applyAlignment="1">
      <alignment horizontal="center"/>
    </xf>
    <xf numFmtId="2" fontId="3" fillId="5" borderId="0" xfId="0" applyNumberFormat="1" applyFont="1" applyFill="1" applyBorder="1" applyAlignment="1">
      <alignment horizontal="center"/>
    </xf>
    <xf numFmtId="164" fontId="3" fillId="5" borderId="0" xfId="0" applyNumberFormat="1" applyFont="1" applyFill="1" applyBorder="1" applyAlignment="1">
      <alignment horizontal="center"/>
    </xf>
    <xf numFmtId="0" fontId="3" fillId="0" borderId="18" xfId="0" applyFont="1" applyFill="1" applyBorder="1" applyAlignment="1" applyProtection="1">
      <alignment horizontal="fill"/>
    </xf>
    <xf numFmtId="169" fontId="3" fillId="0" borderId="0" xfId="0" applyNumberFormat="1" applyFont="1" applyFill="1" applyBorder="1" applyAlignment="1" applyProtection="1">
      <alignment horizontal="center"/>
    </xf>
    <xf numFmtId="0" fontId="3" fillId="0" borderId="0" xfId="0" applyFont="1" applyFill="1" applyBorder="1" applyAlignment="1" applyProtection="1">
      <alignment horizontal="fill" wrapText="1"/>
    </xf>
    <xf numFmtId="0" fontId="3" fillId="0" borderId="20" xfId="0" applyFont="1" applyFill="1" applyBorder="1" applyAlignment="1" applyProtection="1">
      <alignment horizontal="fill"/>
    </xf>
    <xf numFmtId="0" fontId="3" fillId="0" borderId="18" xfId="0" applyFont="1" applyFill="1" applyBorder="1" applyAlignment="1" applyProtection="1">
      <alignment horizontal="left"/>
    </xf>
    <xf numFmtId="2" fontId="3" fillId="0" borderId="0" xfId="0" applyNumberFormat="1" applyFont="1" applyFill="1" applyBorder="1" applyAlignment="1" applyProtection="1">
      <alignment horizontal="center" vertical="center" wrapText="1"/>
    </xf>
    <xf numFmtId="169" fontId="3" fillId="0" borderId="20" xfId="0" applyNumberFormat="1" applyFont="1" applyFill="1" applyBorder="1" applyProtection="1"/>
    <xf numFmtId="0" fontId="4" fillId="0" borderId="21" xfId="0" applyFont="1" applyFill="1" applyBorder="1" applyAlignment="1" applyProtection="1">
      <alignment horizontal="center"/>
    </xf>
    <xf numFmtId="169" fontId="4" fillId="0" borderId="16" xfId="0" applyNumberFormat="1" applyFont="1" applyFill="1" applyBorder="1" applyAlignment="1" applyProtection="1">
      <alignment horizontal="center"/>
    </xf>
    <xf numFmtId="165" fontId="4" fillId="0" borderId="16" xfId="0" applyNumberFormat="1" applyFont="1" applyFill="1" applyBorder="1" applyAlignment="1">
      <alignment horizontal="center" vertical="center" wrapText="1"/>
    </xf>
    <xf numFmtId="169" fontId="4" fillId="0" borderId="22" xfId="0" applyNumberFormat="1" applyFont="1" applyFill="1" applyBorder="1" applyProtection="1"/>
    <xf numFmtId="2" fontId="14" fillId="0" borderId="0" xfId="0" applyNumberFormat="1" applyFont="1" applyFill="1" applyAlignment="1" applyProtection="1">
      <alignment horizontal="right" vertical="center"/>
    </xf>
    <xf numFmtId="2" fontId="13" fillId="0" borderId="0" xfId="0" applyNumberFormat="1" applyFont="1" applyFill="1" applyAlignment="1" applyProtection="1">
      <alignment vertical="center"/>
    </xf>
    <xf numFmtId="4" fontId="5" fillId="0" borderId="6" xfId="0" applyNumberFormat="1" applyFont="1" applyFill="1" applyBorder="1" applyAlignment="1">
      <alignment vertical="center"/>
    </xf>
    <xf numFmtId="43" fontId="7" fillId="0" borderId="10" xfId="2" applyFont="1" applyFill="1" applyBorder="1" applyAlignment="1">
      <alignment vertical="center"/>
    </xf>
    <xf numFmtId="43" fontId="7" fillId="0" borderId="9" xfId="2" applyFont="1" applyFill="1" applyBorder="1" applyAlignment="1">
      <alignment vertical="center"/>
    </xf>
    <xf numFmtId="0" fontId="4" fillId="0" borderId="0" xfId="0" applyFont="1" applyFill="1" applyBorder="1" applyAlignment="1">
      <alignment horizontal="center"/>
    </xf>
    <xf numFmtId="0" fontId="3" fillId="0" borderId="0" xfId="0" applyFont="1" applyFill="1" applyBorder="1" applyAlignment="1">
      <alignment horizontal="left"/>
    </xf>
    <xf numFmtId="10" fontId="4" fillId="0" borderId="0" xfId="7" applyNumberFormat="1" applyFont="1" applyFill="1" applyBorder="1" applyAlignment="1">
      <alignment horizontal="center"/>
    </xf>
    <xf numFmtId="0" fontId="3" fillId="0" borderId="0" xfId="0" applyFont="1" applyFill="1" applyBorder="1" applyAlignment="1">
      <alignment horizontal="center"/>
    </xf>
    <xf numFmtId="2" fontId="3" fillId="0" borderId="0" xfId="0" applyNumberFormat="1" applyFont="1" applyFill="1" applyBorder="1" applyAlignment="1">
      <alignment horizontal="center"/>
    </xf>
    <xf numFmtId="164" fontId="3" fillId="0" borderId="0" xfId="0" applyNumberFormat="1" applyFont="1" applyFill="1" applyBorder="1" applyAlignment="1">
      <alignment horizontal="center"/>
    </xf>
    <xf numFmtId="0" fontId="3" fillId="0" borderId="0" xfId="0" applyFont="1" applyFill="1" applyBorder="1" applyAlignment="1">
      <alignment horizontal="left" wrapText="1"/>
    </xf>
    <xf numFmtId="0" fontId="4" fillId="0" borderId="0" xfId="0" applyFont="1" applyFill="1" applyAlignment="1">
      <alignment horizontal="right"/>
    </xf>
    <xf numFmtId="10" fontId="14" fillId="0" borderId="0" xfId="6" applyNumberFormat="1" applyFont="1" applyFill="1" applyAlignment="1" applyProtection="1"/>
    <xf numFmtId="0" fontId="0" fillId="0" borderId="0" xfId="0"/>
    <xf numFmtId="0" fontId="1" fillId="0" borderId="1" xfId="0" applyFont="1" applyFill="1" applyBorder="1"/>
    <xf numFmtId="0" fontId="13" fillId="0" borderId="0" xfId="0" applyFont="1" applyFill="1" applyAlignment="1" applyProtection="1">
      <alignment horizontal="center"/>
    </xf>
    <xf numFmtId="43" fontId="14" fillId="0" borderId="0" xfId="0" applyNumberFormat="1" applyFont="1" applyFill="1" applyProtection="1"/>
    <xf numFmtId="0" fontId="14" fillId="0" borderId="0" xfId="2" applyNumberFormat="1" applyFont="1" applyFill="1" applyBorder="1" applyProtection="1"/>
    <xf numFmtId="43" fontId="5" fillId="0" borderId="1" xfId="0" applyNumberFormat="1" applyFont="1" applyFill="1" applyBorder="1" applyAlignment="1">
      <alignment vertical="center"/>
    </xf>
    <xf numFmtId="170" fontId="7" fillId="0" borderId="1" xfId="2" applyNumberFormat="1" applyFont="1" applyFill="1" applyBorder="1" applyAlignment="1">
      <alignment vertical="center"/>
    </xf>
    <xf numFmtId="0" fontId="21" fillId="3" borderId="17" xfId="0" applyFont="1" applyFill="1" applyBorder="1" applyAlignment="1" applyProtection="1">
      <alignment horizontal="left" vertical="center"/>
    </xf>
    <xf numFmtId="0" fontId="21" fillId="3" borderId="17" xfId="0" applyFont="1" applyFill="1" applyBorder="1" applyAlignment="1" applyProtection="1">
      <alignment horizontal="center" vertical="center"/>
    </xf>
    <xf numFmtId="0" fontId="21" fillId="3" borderId="28" xfId="0" applyFont="1" applyFill="1" applyBorder="1" applyAlignment="1" applyProtection="1">
      <alignment horizontal="center" vertical="center"/>
    </xf>
    <xf numFmtId="0" fontId="28" fillId="0" borderId="0" xfId="0" applyFont="1"/>
    <xf numFmtId="0" fontId="26" fillId="0" borderId="5" xfId="0" applyFont="1" applyFill="1" applyBorder="1"/>
    <xf numFmtId="0" fontId="29" fillId="0" borderId="5" xfId="0" applyFont="1" applyFill="1" applyBorder="1" applyAlignment="1">
      <alignment horizontal="center" vertical="center"/>
    </xf>
    <xf numFmtId="0" fontId="28" fillId="0" borderId="0" xfId="0" applyFont="1" applyFill="1" applyAlignment="1">
      <alignment vertical="center"/>
    </xf>
    <xf numFmtId="0" fontId="21" fillId="3" borderId="11" xfId="0" applyFont="1" applyFill="1" applyBorder="1" applyAlignment="1" applyProtection="1">
      <alignment horizontal="right" vertical="center"/>
    </xf>
    <xf numFmtId="9" fontId="13" fillId="0" borderId="14" xfId="0" applyNumberFormat="1" applyFont="1" applyFill="1" applyBorder="1" applyAlignment="1" applyProtection="1">
      <alignment horizontal="center" vertical="center"/>
    </xf>
    <xf numFmtId="10" fontId="14" fillId="0" borderId="17" xfId="6" applyNumberFormat="1" applyFont="1" applyFill="1" applyBorder="1" applyAlignment="1" applyProtection="1">
      <alignment horizontal="center" vertical="center"/>
    </xf>
    <xf numFmtId="10" fontId="14" fillId="0" borderId="0" xfId="6" applyNumberFormat="1" applyFont="1" applyFill="1" applyBorder="1" applyAlignment="1" applyProtection="1">
      <alignment horizontal="center" vertical="center"/>
    </xf>
    <xf numFmtId="10" fontId="14" fillId="0" borderId="4" xfId="6" applyNumberFormat="1" applyFont="1" applyFill="1" applyBorder="1" applyAlignment="1" applyProtection="1">
      <alignment horizontal="center" vertical="center"/>
    </xf>
    <xf numFmtId="10" fontId="14" fillId="0" borderId="28" xfId="6" applyNumberFormat="1" applyFont="1" applyFill="1" applyBorder="1" applyAlignment="1" applyProtection="1">
      <alignment horizontal="center" vertical="center"/>
    </xf>
    <xf numFmtId="10" fontId="14" fillId="0" borderId="6" xfId="6" applyNumberFormat="1" applyFont="1" applyFill="1" applyBorder="1" applyAlignment="1" applyProtection="1">
      <alignment horizontal="center" vertical="center"/>
    </xf>
    <xf numFmtId="10" fontId="14" fillId="0" borderId="9" xfId="6" applyNumberFormat="1" applyFont="1" applyFill="1" applyBorder="1" applyAlignment="1" applyProtection="1">
      <alignment horizontal="center" vertical="center"/>
    </xf>
    <xf numFmtId="9" fontId="13" fillId="0" borderId="15" xfId="0" applyNumberFormat="1" applyFont="1" applyFill="1" applyBorder="1" applyAlignment="1" applyProtection="1">
      <alignment horizontal="center" vertical="center" wrapText="1"/>
    </xf>
    <xf numFmtId="9" fontId="13" fillId="0" borderId="28" xfId="0" applyNumberFormat="1" applyFont="1" applyFill="1" applyBorder="1" applyAlignment="1" applyProtection="1">
      <alignment horizontal="center" vertical="center"/>
    </xf>
    <xf numFmtId="2" fontId="14" fillId="0" borderId="0" xfId="0" applyNumberFormat="1" applyFont="1" applyFill="1" applyBorder="1" applyAlignment="1" applyProtection="1">
      <alignment horizontal="center" vertical="center"/>
    </xf>
    <xf numFmtId="0" fontId="2" fillId="0" borderId="0" xfId="4" applyFill="1" applyAlignment="1" applyProtection="1">
      <alignment horizontal="center" vertical="center" wrapText="1"/>
    </xf>
    <xf numFmtId="0" fontId="14" fillId="0" borderId="0" xfId="0" applyFont="1" applyFill="1" applyAlignment="1" applyProtection="1">
      <alignment horizontal="center" vertical="center"/>
    </xf>
    <xf numFmtId="0" fontId="1" fillId="0" borderId="1" xfId="0" applyFont="1" applyFill="1" applyBorder="1" applyAlignment="1">
      <alignment horizontal="left" vertical="center" indent="1"/>
    </xf>
    <xf numFmtId="9" fontId="30" fillId="0" borderId="0" xfId="0" applyNumberFormat="1" applyFont="1" applyFill="1" applyBorder="1" applyAlignment="1">
      <alignment horizontal="center"/>
    </xf>
    <xf numFmtId="0" fontId="31" fillId="0" borderId="0" xfId="0" applyFont="1" applyFill="1" applyBorder="1" applyAlignment="1">
      <alignment horizontal="center" vertical="center"/>
    </xf>
    <xf numFmtId="0" fontId="2" fillId="0" borderId="0" xfId="4" applyFill="1" applyAlignment="1" applyProtection="1">
      <alignment horizontal="center" vertical="center"/>
    </xf>
    <xf numFmtId="0" fontId="2" fillId="0" borderId="0" xfId="4" applyFill="1" applyAlignment="1" applyProtection="1">
      <alignment horizontal="left" vertical="center"/>
    </xf>
    <xf numFmtId="0" fontId="1" fillId="0" borderId="0" xfId="0" applyFont="1" applyFill="1" applyBorder="1" applyAlignment="1">
      <alignment horizontal="center" vertical="center"/>
    </xf>
    <xf numFmtId="0" fontId="2" fillId="0" borderId="0" xfId="4" applyFill="1" applyAlignment="1" applyProtection="1">
      <alignment horizontal="center" vertical="center" wrapText="1"/>
    </xf>
    <xf numFmtId="0" fontId="14" fillId="0" borderId="0" xfId="0" applyFont="1" applyFill="1" applyAlignment="1" applyProtection="1">
      <alignment horizontal="center" vertical="center"/>
    </xf>
    <xf numFmtId="0" fontId="3" fillId="0" borderId="2" xfId="0" applyFont="1" applyFill="1" applyBorder="1" applyAlignment="1">
      <alignment horizontal="left"/>
    </xf>
    <xf numFmtId="0" fontId="3" fillId="0" borderId="1" xfId="0" applyFont="1" applyFill="1" applyBorder="1" applyAlignment="1">
      <alignment horizontal="left"/>
    </xf>
    <xf numFmtId="0" fontId="4" fillId="0" borderId="2" xfId="0" applyFont="1" applyFill="1" applyBorder="1" applyAlignment="1">
      <alignment horizontal="left" indent="1"/>
    </xf>
    <xf numFmtId="0" fontId="4" fillId="0" borderId="1" xfId="0" applyFont="1" applyFill="1" applyBorder="1" applyAlignment="1">
      <alignment horizontal="center"/>
    </xf>
    <xf numFmtId="0" fontId="14" fillId="0" borderId="10" xfId="0" applyFont="1" applyFill="1" applyBorder="1" applyAlignment="1" applyProtection="1">
      <alignment vertical="center"/>
    </xf>
    <xf numFmtId="0" fontId="1" fillId="0" borderId="1" xfId="0" applyFont="1" applyFill="1" applyBorder="1" applyAlignment="1">
      <alignment horizontal="left"/>
    </xf>
    <xf numFmtId="0" fontId="14" fillId="0" borderId="10" xfId="0" applyFont="1" applyFill="1" applyBorder="1" applyAlignment="1" applyProtection="1">
      <alignment horizontal="left" vertical="center" wrapText="1"/>
    </xf>
    <xf numFmtId="2" fontId="3" fillId="0" borderId="2" xfId="0" applyNumberFormat="1" applyFont="1" applyFill="1" applyBorder="1" applyAlignment="1">
      <alignment horizontal="center"/>
    </xf>
    <xf numFmtId="2" fontId="3" fillId="0" borderId="1" xfId="0" applyNumberFormat="1" applyFont="1" applyFill="1" applyBorder="1" applyAlignment="1">
      <alignment horizontal="center"/>
    </xf>
    <xf numFmtId="2" fontId="3" fillId="0" borderId="10" xfId="0" applyNumberFormat="1" applyFont="1" applyFill="1" applyBorder="1" applyAlignment="1">
      <alignment horizontal="center"/>
    </xf>
    <xf numFmtId="2" fontId="3" fillId="0" borderId="2" xfId="0" applyNumberFormat="1" applyFont="1" applyFill="1" applyBorder="1" applyAlignment="1">
      <alignment horizontal="center" wrapText="1"/>
    </xf>
    <xf numFmtId="2" fontId="3" fillId="0" borderId="1" xfId="0" applyNumberFormat="1" applyFont="1" applyFill="1" applyBorder="1" applyAlignment="1">
      <alignment horizontal="center" wrapText="1"/>
    </xf>
    <xf numFmtId="2" fontId="3" fillId="0" borderId="10" xfId="0" applyNumberFormat="1" applyFont="1" applyFill="1" applyBorder="1" applyAlignment="1">
      <alignment horizontal="center" wrapText="1"/>
    </xf>
    <xf numFmtId="0" fontId="2" fillId="0" borderId="0" xfId="4" applyFill="1" applyAlignment="1" applyProtection="1">
      <alignment horizontal="center" vertical="center" wrapText="1"/>
    </xf>
    <xf numFmtId="2" fontId="14" fillId="0" borderId="0" xfId="0" applyNumberFormat="1" applyFont="1" applyFill="1" applyBorder="1" applyAlignment="1" applyProtection="1">
      <alignment horizontal="center" vertical="center"/>
    </xf>
    <xf numFmtId="2" fontId="14" fillId="0" borderId="0" xfId="0" applyNumberFormat="1" applyFont="1" applyFill="1" applyBorder="1" applyAlignment="1" applyProtection="1">
      <alignment horizontal="center" vertical="center"/>
    </xf>
    <xf numFmtId="43" fontId="3" fillId="0" borderId="6" xfId="2" applyNumberFormat="1" applyFont="1" applyFill="1" applyBorder="1" applyAlignment="1">
      <alignment vertical="center"/>
    </xf>
    <xf numFmtId="43" fontId="3" fillId="0" borderId="1" xfId="2" applyNumberFormat="1" applyFont="1" applyFill="1" applyBorder="1" applyAlignment="1">
      <alignment vertical="center"/>
    </xf>
    <xf numFmtId="43" fontId="3" fillId="0" borderId="7" xfId="2" applyNumberFormat="1" applyFont="1" applyFill="1" applyBorder="1" applyAlignment="1">
      <alignment vertical="center"/>
    </xf>
    <xf numFmtId="0" fontId="14" fillId="4" borderId="0" xfId="0" applyFont="1" applyFill="1" applyProtection="1">
      <protection locked="0"/>
    </xf>
    <xf numFmtId="0" fontId="22" fillId="4" borderId="0" xfId="0" applyFont="1" applyFill="1" applyProtection="1">
      <protection locked="0"/>
    </xf>
    <xf numFmtId="0" fontId="25" fillId="3" borderId="5" xfId="0" applyFont="1" applyFill="1" applyBorder="1" applyProtection="1">
      <protection locked="0"/>
    </xf>
    <xf numFmtId="0" fontId="23" fillId="4" borderId="10" xfId="0" applyFont="1" applyFill="1" applyBorder="1" applyAlignment="1" applyProtection="1">
      <alignment vertical="center"/>
      <protection locked="0"/>
    </xf>
    <xf numFmtId="10" fontId="23" fillId="4" borderId="10" xfId="0" applyNumberFormat="1" applyFont="1" applyFill="1" applyBorder="1" applyAlignment="1" applyProtection="1">
      <alignment horizontal="center" vertical="center"/>
      <protection locked="0"/>
    </xf>
    <xf numFmtId="0" fontId="23" fillId="4" borderId="5" xfId="0" applyFont="1" applyFill="1" applyBorder="1" applyAlignment="1" applyProtection="1">
      <alignment vertical="center"/>
      <protection locked="0"/>
    </xf>
    <xf numFmtId="10" fontId="23" fillId="4" borderId="5" xfId="0" applyNumberFormat="1" applyFont="1" applyFill="1" applyBorder="1" applyAlignment="1" applyProtection="1">
      <alignment horizontal="center" vertical="center"/>
      <protection locked="0"/>
    </xf>
    <xf numFmtId="0" fontId="14" fillId="4" borderId="0" xfId="0" applyFont="1" applyFill="1" applyAlignment="1" applyProtection="1">
      <alignment vertical="center"/>
      <protection locked="0"/>
    </xf>
    <xf numFmtId="10" fontId="23" fillId="4" borderId="5" xfId="6" applyNumberFormat="1" applyFont="1" applyFill="1" applyBorder="1" applyAlignment="1" applyProtection="1">
      <alignment horizontal="center" vertical="center"/>
      <protection locked="0"/>
    </xf>
    <xf numFmtId="0" fontId="24" fillId="0" borderId="0" xfId="0" applyFont="1" applyProtection="1">
      <protection locked="0"/>
    </xf>
    <xf numFmtId="10" fontId="22" fillId="4" borderId="10" xfId="0" applyNumberFormat="1" applyFont="1" applyFill="1" applyBorder="1" applyAlignment="1" applyProtection="1">
      <alignment horizontal="left" vertical="center"/>
      <protection locked="0"/>
    </xf>
    <xf numFmtId="10" fontId="22" fillId="4" borderId="10" xfId="0" applyNumberFormat="1" applyFont="1" applyFill="1" applyBorder="1" applyAlignment="1" applyProtection="1">
      <alignment horizontal="left" vertical="center" wrapText="1"/>
      <protection locked="0"/>
    </xf>
    <xf numFmtId="0" fontId="25" fillId="3" borderId="5" xfId="0" applyFont="1" applyFill="1" applyBorder="1" applyAlignment="1" applyProtection="1">
      <alignment horizontal="center"/>
      <protection locked="0"/>
    </xf>
    <xf numFmtId="0" fontId="14" fillId="0" borderId="0" xfId="0" applyFont="1" applyFill="1" applyBorder="1" applyAlignment="1" applyProtection="1">
      <alignment horizontal="left" vertical="center"/>
    </xf>
    <xf numFmtId="2" fontId="14" fillId="0" borderId="0" xfId="2" applyNumberFormat="1" applyFont="1" applyFill="1" applyBorder="1" applyAlignment="1" applyProtection="1">
      <alignment horizontal="right" vertical="center"/>
    </xf>
    <xf numFmtId="167" fontId="14" fillId="0" borderId="0" xfId="0" applyNumberFormat="1" applyFont="1" applyFill="1" applyAlignment="1" applyProtection="1"/>
    <xf numFmtId="9" fontId="14" fillId="0" borderId="0" xfId="6" applyFont="1" applyFill="1" applyAlignment="1" applyProtection="1">
      <alignment vertical="center"/>
    </xf>
    <xf numFmtId="166" fontId="22" fillId="0" borderId="0" xfId="0" applyNumberFormat="1" applyFont="1" applyFill="1" applyBorder="1" applyAlignment="1" applyProtection="1">
      <alignment vertical="center"/>
    </xf>
    <xf numFmtId="10" fontId="14" fillId="0" borderId="0" xfId="0" applyNumberFormat="1" applyFont="1" applyFill="1" applyBorder="1" applyAlignment="1" applyProtection="1">
      <alignment vertical="center"/>
    </xf>
    <xf numFmtId="10" fontId="22" fillId="0" borderId="0" xfId="6" applyNumberFormat="1" applyFont="1" applyFill="1" applyBorder="1" applyAlignment="1" applyProtection="1">
      <alignment vertical="center"/>
    </xf>
    <xf numFmtId="1" fontId="14" fillId="0" borderId="0" xfId="0" applyNumberFormat="1" applyFont="1" applyFill="1" applyBorder="1" applyAlignment="1" applyProtection="1">
      <alignment vertical="center" wrapText="1"/>
    </xf>
    <xf numFmtId="9" fontId="14" fillId="0" borderId="0" xfId="6" applyFont="1" applyFill="1" applyBorder="1" applyAlignment="1" applyProtection="1">
      <alignment vertical="center" wrapText="1"/>
    </xf>
    <xf numFmtId="10" fontId="14" fillId="0" borderId="0" xfId="6" applyNumberFormat="1" applyFont="1" applyFill="1" applyBorder="1" applyAlignment="1" applyProtection="1">
      <alignment vertical="center" wrapText="1"/>
    </xf>
    <xf numFmtId="2" fontId="13" fillId="0" borderId="0" xfId="0" applyNumberFormat="1" applyFont="1" applyFill="1" applyBorder="1" applyAlignment="1" applyProtection="1">
      <alignment horizontal="right" vertical="center"/>
    </xf>
    <xf numFmtId="2" fontId="13" fillId="0" borderId="0" xfId="0" applyNumberFormat="1" applyFont="1" applyFill="1" applyBorder="1" applyAlignment="1" applyProtection="1">
      <alignment horizontal="right"/>
    </xf>
    <xf numFmtId="165" fontId="13" fillId="0" borderId="14" xfId="0" applyNumberFormat="1" applyFont="1" applyFill="1" applyBorder="1" applyAlignment="1" applyProtection="1"/>
    <xf numFmtId="2" fontId="22" fillId="0" borderId="0" xfId="6" applyNumberFormat="1" applyFont="1" applyFill="1" applyBorder="1" applyAlignment="1" applyProtection="1">
      <alignment vertical="center"/>
    </xf>
    <xf numFmtId="165" fontId="13" fillId="0" borderId="16" xfId="0" applyNumberFormat="1" applyFont="1" applyFill="1" applyBorder="1" applyAlignment="1" applyProtection="1">
      <alignment vertical="center"/>
    </xf>
    <xf numFmtId="0" fontId="14" fillId="0" borderId="5" xfId="0" applyFont="1" applyFill="1" applyBorder="1" applyAlignment="1" applyProtection="1">
      <alignment vertical="center"/>
    </xf>
    <xf numFmtId="0" fontId="11" fillId="0" borderId="0" xfId="0" applyFont="1" applyFill="1" applyAlignment="1" applyProtection="1">
      <alignment vertical="center"/>
    </xf>
    <xf numFmtId="0" fontId="11" fillId="0" borderId="0" xfId="0" applyFont="1" applyFill="1" applyAlignment="1" applyProtection="1">
      <alignment horizontal="left"/>
    </xf>
    <xf numFmtId="0" fontId="11" fillId="0" borderId="0" xfId="0" applyFont="1" applyFill="1" applyAlignment="1" applyProtection="1">
      <alignment vertical="center"/>
    </xf>
    <xf numFmtId="10" fontId="14" fillId="0" borderId="0" xfId="6" applyNumberFormat="1" applyFont="1" applyFill="1" applyBorder="1" applyAlignment="1" applyProtection="1">
      <alignment vertical="center"/>
    </xf>
    <xf numFmtId="0" fontId="11" fillId="0" borderId="0" xfId="0" applyFont="1" applyFill="1" applyAlignment="1" applyProtection="1">
      <alignment vertical="center"/>
    </xf>
    <xf numFmtId="0" fontId="11" fillId="0" borderId="0" xfId="0" applyFont="1" applyFill="1" applyAlignment="1" applyProtection="1">
      <alignment vertical="center"/>
    </xf>
    <xf numFmtId="166" fontId="14" fillId="0" borderId="0" xfId="6" applyNumberFormat="1" applyFont="1" applyFill="1" applyBorder="1" applyAlignment="1" applyProtection="1">
      <alignment vertical="center"/>
    </xf>
    <xf numFmtId="0" fontId="2" fillId="0" borderId="0" xfId="4" applyFill="1" applyAlignment="1" applyProtection="1">
      <alignment horizontal="left"/>
    </xf>
    <xf numFmtId="0" fontId="19" fillId="0" borderId="0" xfId="0" applyFont="1" applyFill="1" applyAlignment="1" applyProtection="1">
      <alignment horizontal="left"/>
    </xf>
    <xf numFmtId="171" fontId="22" fillId="0" borderId="0" xfId="6" applyNumberFormat="1" applyFont="1" applyFill="1" applyBorder="1" applyAlignment="1" applyProtection="1">
      <alignment vertical="center"/>
    </xf>
    <xf numFmtId="0" fontId="13" fillId="0" borderId="0" xfId="0" applyFont="1" applyFill="1" applyAlignment="1" applyProtection="1">
      <alignment horizontal="center"/>
    </xf>
    <xf numFmtId="0" fontId="1" fillId="0" borderId="0" xfId="0" applyFont="1" applyAlignment="1">
      <alignment horizontal="left"/>
    </xf>
    <xf numFmtId="0" fontId="0" fillId="0" borderId="0" xfId="0" applyAlignment="1">
      <alignment horizontal="left"/>
    </xf>
    <xf numFmtId="0" fontId="14" fillId="0" borderId="0" xfId="0" applyFont="1" applyFill="1" applyAlignment="1" applyProtection="1">
      <alignment horizontal="center" vertical="center"/>
    </xf>
    <xf numFmtId="0" fontId="2" fillId="0" borderId="0" xfId="4" applyFill="1" applyAlignment="1" applyProtection="1">
      <alignment horizontal="left"/>
    </xf>
    <xf numFmtId="0" fontId="11" fillId="0" borderId="0" xfId="0" applyFont="1" applyFill="1" applyAlignment="1" applyProtection="1">
      <alignment horizontal="left"/>
    </xf>
    <xf numFmtId="0" fontId="21" fillId="3" borderId="11" xfId="0" applyFont="1" applyFill="1" applyBorder="1" applyAlignment="1" applyProtection="1">
      <alignment horizontal="center" vertical="center"/>
    </xf>
    <xf numFmtId="0" fontId="21" fillId="3" borderId="17" xfId="0" applyFont="1" applyFill="1" applyBorder="1" applyAlignment="1" applyProtection="1">
      <alignment horizontal="center" vertical="center"/>
    </xf>
    <xf numFmtId="0" fontId="21" fillId="3" borderId="28" xfId="0" applyFont="1" applyFill="1" applyBorder="1" applyAlignment="1" applyProtection="1">
      <alignment horizontal="center" vertical="center"/>
    </xf>
    <xf numFmtId="0" fontId="13" fillId="0" borderId="0" xfId="0" applyFont="1" applyFill="1" applyAlignment="1" applyProtection="1">
      <alignment horizontal="left"/>
    </xf>
    <xf numFmtId="10" fontId="13" fillId="0" borderId="17" xfId="6" applyNumberFormat="1" applyFont="1" applyFill="1" applyBorder="1" applyAlignment="1" applyProtection="1">
      <alignment horizontal="center" vertical="center"/>
    </xf>
    <xf numFmtId="10" fontId="13" fillId="0" borderId="0" xfId="6" applyNumberFormat="1" applyFont="1" applyFill="1" applyBorder="1" applyAlignment="1" applyProtection="1">
      <alignment horizontal="center" vertical="center"/>
    </xf>
    <xf numFmtId="10" fontId="13" fillId="0" borderId="4" xfId="6" applyNumberFormat="1" applyFont="1" applyFill="1" applyBorder="1" applyAlignment="1" applyProtection="1">
      <alignment horizontal="center" vertical="center"/>
    </xf>
    <xf numFmtId="0" fontId="11" fillId="0" borderId="0" xfId="0" applyFont="1" applyFill="1" applyAlignment="1" applyProtection="1">
      <alignment vertical="center"/>
    </xf>
    <xf numFmtId="10" fontId="13" fillId="0" borderId="28" xfId="6" applyNumberFormat="1" applyFont="1" applyFill="1" applyBorder="1" applyAlignment="1" applyProtection="1">
      <alignment horizontal="center" vertical="center"/>
    </xf>
    <xf numFmtId="10" fontId="13" fillId="0" borderId="6" xfId="6" applyNumberFormat="1" applyFont="1" applyFill="1" applyBorder="1" applyAlignment="1" applyProtection="1">
      <alignment horizontal="center" vertical="center"/>
    </xf>
    <xf numFmtId="10" fontId="13" fillId="0" borderId="9" xfId="6" applyNumberFormat="1" applyFont="1" applyFill="1" applyBorder="1" applyAlignment="1" applyProtection="1">
      <alignment horizontal="center" vertical="center"/>
    </xf>
    <xf numFmtId="0" fontId="14" fillId="0" borderId="0" xfId="0" applyFont="1" applyFill="1" applyBorder="1" applyAlignment="1" applyProtection="1">
      <alignment horizontal="center" vertical="center"/>
    </xf>
    <xf numFmtId="0" fontId="11" fillId="0" borderId="0" xfId="0" applyFont="1" applyFill="1" applyAlignment="1" applyProtection="1">
      <alignment horizontal="left" vertical="center" indent="1"/>
    </xf>
    <xf numFmtId="0" fontId="21" fillId="3" borderId="17" xfId="0" applyFont="1" applyFill="1" applyBorder="1" applyAlignment="1" applyProtection="1">
      <alignment horizontal="left" vertical="center" wrapText="1"/>
    </xf>
    <xf numFmtId="0" fontId="21" fillId="3" borderId="28" xfId="0" applyFont="1" applyFill="1" applyBorder="1" applyAlignment="1" applyProtection="1">
      <alignment horizontal="left" vertical="center" wrapText="1"/>
    </xf>
    <xf numFmtId="0" fontId="14" fillId="0" borderId="0" xfId="0" applyFont="1" applyFill="1" applyBorder="1" applyAlignment="1" applyProtection="1">
      <alignment horizontal="left" vertical="center" wrapText="1"/>
    </xf>
    <xf numFmtId="0" fontId="14" fillId="0" borderId="6" xfId="0" applyFont="1" applyFill="1" applyBorder="1" applyAlignment="1" applyProtection="1">
      <alignment horizontal="left" vertical="center" wrapText="1"/>
    </xf>
    <xf numFmtId="0" fontId="14" fillId="0" borderId="0" xfId="0" applyFont="1" applyFill="1" applyBorder="1" applyAlignment="1" applyProtection="1">
      <alignment horizontal="left" vertical="center"/>
    </xf>
    <xf numFmtId="0" fontId="14" fillId="0" borderId="6" xfId="0" applyFont="1" applyFill="1" applyBorder="1" applyAlignment="1" applyProtection="1">
      <alignment horizontal="left" vertical="center"/>
    </xf>
    <xf numFmtId="168" fontId="14" fillId="0" borderId="0" xfId="0" applyNumberFormat="1" applyFont="1" applyFill="1" applyBorder="1" applyAlignment="1" applyProtection="1">
      <alignment horizontal="left" vertical="center"/>
    </xf>
    <xf numFmtId="168" fontId="14" fillId="0" borderId="6" xfId="0" applyNumberFormat="1" applyFont="1" applyFill="1" applyBorder="1" applyAlignment="1" applyProtection="1">
      <alignment horizontal="left" vertical="center"/>
    </xf>
    <xf numFmtId="2" fontId="14" fillId="0" borderId="0" xfId="0" applyNumberFormat="1" applyFont="1" applyFill="1" applyBorder="1" applyAlignment="1" applyProtection="1">
      <alignment horizontal="center" vertical="center"/>
    </xf>
    <xf numFmtId="0" fontId="26" fillId="3" borderId="23" xfId="0" applyFont="1" applyFill="1" applyBorder="1" applyAlignment="1">
      <alignment horizontal="center" vertical="center" wrapText="1"/>
    </xf>
    <xf numFmtId="0" fontId="26" fillId="3" borderId="24" xfId="0" applyFont="1" applyFill="1" applyBorder="1" applyAlignment="1">
      <alignment horizontal="center" vertical="center" wrapText="1"/>
    </xf>
    <xf numFmtId="0" fontId="26" fillId="3" borderId="25" xfId="0" applyFont="1" applyFill="1" applyBorder="1" applyAlignment="1">
      <alignment horizontal="center" vertical="center" wrapText="1"/>
    </xf>
    <xf numFmtId="0" fontId="4" fillId="0" borderId="18" xfId="0" applyFont="1" applyFill="1" applyBorder="1" applyAlignment="1" applyProtection="1">
      <alignment horizontal="center" vertical="center"/>
    </xf>
    <xf numFmtId="0" fontId="4" fillId="0" borderId="26" xfId="0" applyFont="1" applyFill="1" applyBorder="1" applyAlignment="1" applyProtection="1">
      <alignment horizontal="center" vertical="center"/>
    </xf>
    <xf numFmtId="0" fontId="4" fillId="0" borderId="0"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0"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4" fillId="0" borderId="20" xfId="0" applyFont="1" applyFill="1" applyBorder="1" applyAlignment="1" applyProtection="1">
      <alignment horizontal="center" vertical="center"/>
    </xf>
    <xf numFmtId="0" fontId="4" fillId="0" borderId="27" xfId="0" applyFont="1" applyFill="1" applyBorder="1" applyAlignment="1" applyProtection="1">
      <alignment horizontal="center" vertical="center"/>
    </xf>
    <xf numFmtId="0" fontId="14" fillId="0" borderId="5" xfId="0" applyFont="1" applyFill="1" applyBorder="1" applyAlignment="1" applyProtection="1">
      <alignment horizontal="center" vertical="center"/>
    </xf>
    <xf numFmtId="0" fontId="2" fillId="0" borderId="0" xfId="4" applyFill="1" applyAlignment="1" applyProtection="1">
      <alignment horizontal="center" vertical="center" wrapText="1"/>
    </xf>
    <xf numFmtId="0" fontId="27" fillId="3" borderId="0" xfId="0" applyFont="1" applyFill="1" applyAlignment="1">
      <alignment horizontal="center" vertical="center" textRotation="255"/>
    </xf>
    <xf numFmtId="0" fontId="22" fillId="4" borderId="0" xfId="0" applyFont="1" applyFill="1" applyAlignment="1" applyProtection="1">
      <alignment horizontal="left" vertical="top" wrapText="1"/>
      <protection locked="0"/>
    </xf>
  </cellXfs>
  <cellStyles count="8">
    <cellStyle name="=C:\WINNT\SYSTEM32\COMMAND.COM" xfId="1"/>
    <cellStyle name="Comma" xfId="2" builtinId="3"/>
    <cellStyle name="Comma 2" xfId="3"/>
    <cellStyle name="Hyperlink" xfId="4" builtinId="8"/>
    <cellStyle name="Normal" xfId="0" builtinId="0"/>
    <cellStyle name="Normal 2" xfId="5"/>
    <cellStyle name="Percent" xfId="6" builtinId="5"/>
    <cellStyle name="Percent 2"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usernames" Target="revisions/userNames1.xml"/><Relationship Id="rId4"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82"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0885BFF-B400-4882-A68B-87921F762649}" diskRevisions="1" revisionId="1495" version="8">
  <header guid="{00885BFF-B400-4882-A68B-87921F762649}" dateTime="2016-06-08T13:22:24" maxSheetId="4" userName="A" r:id="rId82">
    <sheetIdMap count="3">
      <sheetId val="1"/>
      <sheetId val="2"/>
      <sheetId val="3"/>
    </sheetIdMap>
  </header>
</header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83D67E10_79C1_4AD7_9ED8_F6E10CA6D44A_.wvu.PrintArea" hidden="1" oldHidden="1">
    <formula>Assumptions!$B$1:$D$35</formula>
  </rdn>
  <rdn rId="0" localSheetId="2" customView="1" name="Z_83D67E10_79C1_4AD7_9ED8_F6E10CA6D44A_.wvu.PrintArea" hidden="1" oldHidden="1">
    <formula>Projections!$C$48:$W$65</formula>
  </rdn>
  <rdn rId="0" localSheetId="2" customView="1" name="Z_83D67E10_79C1_4AD7_9ED8_F6E10CA6D44A_.wvu.PrintTitles" hidden="1" oldHidden="1">
    <formula>Projections!$C:$C</formula>
  </rdn>
  <rcv guid="{83D67E10-79C1-4AD7-9ED8-F6E10CA6D44A}"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hyperlink" Target="http://www.hperc.org/rules/mytgen11.pdf" TargetMode="Externa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hyperlink" Target="http://www.hperc.org/rules/mytgen11.pdf" TargetMode="External"/><Relationship Id="rId17" Type="http://schemas.openxmlformats.org/officeDocument/2006/relationships/printerSettings" Target="../printerSettings/printerSettings12.bin"/><Relationship Id="rId2" Type="http://schemas.openxmlformats.org/officeDocument/2006/relationships/printerSettings" Target="../printerSettings/printerSettings2.bin"/><Relationship Id="rId16" Type="http://schemas.openxmlformats.org/officeDocument/2006/relationships/hyperlink" Target="http://www.mca.gov.in/Ministry/notification/pdf/AS_22.pdf" TargetMode="Externa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hyperlink" Target="http://www.bmradvisors.com/budget-analysis-2011/tax-amendments.pdf" TargetMode="External"/><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hyperlink" Target="http://www.hperc.org/rules/mytgen11.pdf"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printerSettings" Target="../printerSettings/printerSettings15.bin"/><Relationship Id="rId7" Type="http://schemas.openxmlformats.org/officeDocument/2006/relationships/printerSettings" Target="../printerSettings/printerSettings19.bin"/><Relationship Id="rId12" Type="http://schemas.openxmlformats.org/officeDocument/2006/relationships/printerSettings" Target="../printerSettings/printerSettings24.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11" Type="http://schemas.openxmlformats.org/officeDocument/2006/relationships/printerSettings" Target="../printerSettings/printerSettings23.bin"/><Relationship Id="rId5" Type="http://schemas.openxmlformats.org/officeDocument/2006/relationships/printerSettings" Target="../printerSettings/printerSettings17.bin"/><Relationship Id="rId10" Type="http://schemas.openxmlformats.org/officeDocument/2006/relationships/printerSettings" Target="../printerSettings/printerSettings22.bin"/><Relationship Id="rId4" Type="http://schemas.openxmlformats.org/officeDocument/2006/relationships/printerSettings" Target="../printerSettings/printerSettings16.bin"/><Relationship Id="rId9"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2.bin"/><Relationship Id="rId3" Type="http://schemas.openxmlformats.org/officeDocument/2006/relationships/printerSettings" Target="../printerSettings/printerSettings27.bin"/><Relationship Id="rId7" Type="http://schemas.openxmlformats.org/officeDocument/2006/relationships/printerSettings" Target="../printerSettings/printerSettings31.bin"/><Relationship Id="rId12" Type="http://schemas.openxmlformats.org/officeDocument/2006/relationships/printerSettings" Target="../printerSettings/printerSettings36.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11" Type="http://schemas.openxmlformats.org/officeDocument/2006/relationships/printerSettings" Target="../printerSettings/printerSettings35.bin"/><Relationship Id="rId5" Type="http://schemas.openxmlformats.org/officeDocument/2006/relationships/printerSettings" Target="../printerSettings/printerSettings29.bin"/><Relationship Id="rId10" Type="http://schemas.openxmlformats.org/officeDocument/2006/relationships/printerSettings" Target="../printerSettings/printerSettings34.bin"/><Relationship Id="rId4" Type="http://schemas.openxmlformats.org/officeDocument/2006/relationships/printerSettings" Target="../printerSettings/printerSettings28.bin"/><Relationship Id="rId9" Type="http://schemas.openxmlformats.org/officeDocument/2006/relationships/printerSettings" Target="../printerSettings/printerSettings3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H154"/>
  <sheetViews>
    <sheetView topLeftCell="A93" workbookViewId="0">
      <selection activeCell="C100" sqref="C100"/>
    </sheetView>
  </sheetViews>
  <sheetFormatPr defaultRowHeight="15" customHeight="1" x14ac:dyDescent="0.2"/>
  <cols>
    <col min="1" max="1" width="9.140625" style="58" customWidth="1"/>
    <col min="2" max="2" width="42.28515625" style="86" customWidth="1"/>
    <col min="3" max="3" width="12.28515625" style="58" customWidth="1"/>
    <col min="4" max="4" width="19.85546875" style="58" customWidth="1"/>
    <col min="5" max="8" width="12.7109375" style="58" customWidth="1"/>
    <col min="9" max="9" width="14" style="58" customWidth="1"/>
    <col min="10" max="33" width="12.7109375" style="58" customWidth="1"/>
    <col min="34" max="16384" width="9.140625" style="58"/>
  </cols>
  <sheetData>
    <row r="1" spans="2:34" ht="15" customHeight="1" x14ac:dyDescent="0.2">
      <c r="C1" s="58">
        <v>4</v>
      </c>
    </row>
    <row r="2" spans="2:34" ht="22.5" customHeight="1" x14ac:dyDescent="0.2">
      <c r="B2" s="56" t="s">
        <v>35</v>
      </c>
      <c r="C2" s="284" t="s">
        <v>197</v>
      </c>
      <c r="D2" s="285"/>
      <c r="E2" s="57"/>
      <c r="F2" s="271" t="s">
        <v>39</v>
      </c>
      <c r="G2" s="272"/>
      <c r="H2" s="272"/>
      <c r="I2" s="273"/>
      <c r="K2" s="186"/>
      <c r="L2" s="179" t="s">
        <v>177</v>
      </c>
      <c r="M2" s="180"/>
      <c r="N2" s="180"/>
      <c r="O2" s="181"/>
    </row>
    <row r="3" spans="2:34" ht="42" customHeight="1" x14ac:dyDescent="0.2">
      <c r="B3" s="59" t="s">
        <v>33</v>
      </c>
      <c r="C3" s="286" t="s">
        <v>194</v>
      </c>
      <c r="D3" s="287"/>
      <c r="E3" s="57"/>
      <c r="F3" s="61" t="s">
        <v>31</v>
      </c>
      <c r="G3" s="62" t="s">
        <v>40</v>
      </c>
      <c r="H3" s="62" t="s">
        <v>123</v>
      </c>
      <c r="I3" s="63" t="s">
        <v>32</v>
      </c>
      <c r="K3" s="61" t="s">
        <v>31</v>
      </c>
      <c r="L3" s="187">
        <v>0.1</v>
      </c>
      <c r="M3" s="62" t="s">
        <v>123</v>
      </c>
      <c r="N3" s="195">
        <v>-0.1</v>
      </c>
      <c r="O3" s="194" t="s">
        <v>176</v>
      </c>
    </row>
    <row r="4" spans="2:34" ht="15" customHeight="1" x14ac:dyDescent="0.2">
      <c r="B4" s="59" t="s">
        <v>34</v>
      </c>
      <c r="C4" s="288" t="s">
        <v>196</v>
      </c>
      <c r="D4" s="289"/>
      <c r="E4" s="57"/>
      <c r="F4" s="127" t="s">
        <v>41</v>
      </c>
      <c r="G4" s="188">
        <v>0</v>
      </c>
      <c r="H4" s="275">
        <f>Projections!D64</f>
        <v>0.11132121946880202</v>
      </c>
      <c r="I4" s="279">
        <f>Benchmark!C8</f>
        <v>0.17766000000000015</v>
      </c>
      <c r="K4" s="127" t="s">
        <v>41</v>
      </c>
      <c r="L4" s="188">
        <v>0.13730000000000001</v>
      </c>
      <c r="M4" s="188">
        <f>H4</f>
        <v>0.11132121946880202</v>
      </c>
      <c r="N4" s="188">
        <v>8.4500000000000006E-2</v>
      </c>
      <c r="O4" s="191">
        <v>0.26079999999999998</v>
      </c>
      <c r="P4" s="66"/>
      <c r="Q4" s="66"/>
      <c r="R4" s="66"/>
      <c r="S4" s="66"/>
      <c r="T4" s="66"/>
      <c r="U4" s="66"/>
      <c r="V4" s="66"/>
      <c r="W4" s="66"/>
      <c r="X4" s="66"/>
      <c r="Y4" s="66"/>
      <c r="Z4" s="66"/>
      <c r="AA4" s="66"/>
      <c r="AB4" s="66"/>
      <c r="AC4" s="66"/>
      <c r="AD4" s="66"/>
      <c r="AE4" s="66"/>
      <c r="AF4" s="66"/>
      <c r="AG4" s="66"/>
      <c r="AH4" s="66"/>
    </row>
    <row r="5" spans="2:34" s="66" customFormat="1" ht="15" customHeight="1" x14ac:dyDescent="0.2">
      <c r="B5" s="67" t="s">
        <v>74</v>
      </c>
      <c r="C5" s="290">
        <v>41228</v>
      </c>
      <c r="D5" s="291"/>
      <c r="E5" s="57"/>
      <c r="F5" s="64" t="s">
        <v>7</v>
      </c>
      <c r="G5" s="189">
        <v>0</v>
      </c>
      <c r="H5" s="276"/>
      <c r="I5" s="280"/>
      <c r="K5" s="64" t="s">
        <v>7</v>
      </c>
      <c r="L5" s="189">
        <v>8.5300000000000001E-2</v>
      </c>
      <c r="M5" s="189">
        <f>M4</f>
        <v>0.11132121946880202</v>
      </c>
      <c r="N5" s="189">
        <v>0.14149999999999999</v>
      </c>
      <c r="O5" s="192">
        <v>-0.20130000000000001</v>
      </c>
      <c r="U5" s="95"/>
    </row>
    <row r="6" spans="2:34" s="66" customFormat="1" ht="15" customHeight="1" x14ac:dyDescent="0.2">
      <c r="B6" s="67" t="s">
        <v>81</v>
      </c>
      <c r="C6" s="117">
        <f>DATE(YEAR(C5),MONTH(C5)+62,DAY(C5))</f>
        <v>43115</v>
      </c>
      <c r="D6" s="129"/>
      <c r="E6" s="57"/>
      <c r="F6" s="64" t="s">
        <v>42</v>
      </c>
      <c r="G6" s="189">
        <v>0</v>
      </c>
      <c r="H6" s="276"/>
      <c r="I6" s="280"/>
      <c r="K6" s="64" t="s">
        <v>42</v>
      </c>
      <c r="L6" s="189">
        <v>0.1052</v>
      </c>
      <c r="M6" s="189">
        <f>M5</f>
        <v>0.11132121946880202</v>
      </c>
      <c r="N6" s="189">
        <v>0.1173</v>
      </c>
      <c r="O6" s="192">
        <v>-1.2133</v>
      </c>
      <c r="U6" s="95"/>
    </row>
    <row r="7" spans="2:34" s="66" customFormat="1" ht="15" customHeight="1" x14ac:dyDescent="0.2">
      <c r="B7" s="67" t="s">
        <v>73</v>
      </c>
      <c r="C7" s="290">
        <f>DATE(YEAR(C6)+(MONTH(C6)&gt;3),3,31)</f>
        <v>43190</v>
      </c>
      <c r="D7" s="291"/>
      <c r="E7" s="57"/>
      <c r="F7" s="128" t="s">
        <v>11</v>
      </c>
      <c r="G7" s="190">
        <v>0</v>
      </c>
      <c r="H7" s="277"/>
      <c r="I7" s="281"/>
      <c r="K7" s="128" t="s">
        <v>11</v>
      </c>
      <c r="L7" s="190">
        <v>0.13730000000000001</v>
      </c>
      <c r="M7" s="190">
        <f>M6</f>
        <v>0.11132121946880202</v>
      </c>
      <c r="N7" s="190">
        <v>8.4500000000000006E-2</v>
      </c>
      <c r="O7" s="193">
        <v>0.26079999999999998</v>
      </c>
      <c r="U7" s="95"/>
    </row>
    <row r="8" spans="2:34" s="66" customFormat="1" ht="15" customHeight="1" x14ac:dyDescent="0.2">
      <c r="B8" s="69"/>
      <c r="C8" s="70"/>
      <c r="D8" s="70"/>
      <c r="E8" s="57"/>
      <c r="F8" s="282"/>
      <c r="G8" s="282"/>
      <c r="H8" s="126"/>
      <c r="I8" s="126"/>
      <c r="U8" s="95"/>
    </row>
    <row r="9" spans="2:34" s="66" customFormat="1" ht="15" customHeight="1" x14ac:dyDescent="0.2">
      <c r="B9" s="69"/>
      <c r="C9" s="70"/>
      <c r="D9" s="70"/>
      <c r="E9" s="57"/>
      <c r="F9" s="60"/>
      <c r="G9" s="65"/>
      <c r="H9" s="68"/>
      <c r="I9" s="68"/>
      <c r="U9" s="95"/>
    </row>
    <row r="10" spans="2:34" s="72" customFormat="1" ht="15" customHeight="1" x14ac:dyDescent="0.2">
      <c r="B10" s="71" t="s">
        <v>13</v>
      </c>
      <c r="U10" s="96"/>
    </row>
    <row r="11" spans="2:34" s="74" customFormat="1" ht="15" customHeight="1" x14ac:dyDescent="0.2">
      <c r="B11" s="73"/>
      <c r="E11" s="265"/>
      <c r="F11" s="265"/>
      <c r="G11" s="265"/>
      <c r="H11" s="265"/>
      <c r="U11" s="97"/>
    </row>
    <row r="12" spans="2:34" ht="15" customHeight="1" x14ac:dyDescent="0.2">
      <c r="B12" s="75" t="s">
        <v>178</v>
      </c>
      <c r="C12" s="66" t="s">
        <v>179</v>
      </c>
      <c r="D12" s="58" t="s">
        <v>137</v>
      </c>
      <c r="E12" s="265" t="s">
        <v>30</v>
      </c>
      <c r="F12" s="265"/>
      <c r="G12" s="265"/>
      <c r="H12" s="265"/>
      <c r="I12" s="76"/>
      <c r="U12" s="95"/>
    </row>
    <row r="13" spans="2:34" ht="15" customHeight="1" x14ac:dyDescent="0.2">
      <c r="B13" s="108" t="s">
        <v>59</v>
      </c>
      <c r="C13" s="66"/>
      <c r="E13" s="265"/>
      <c r="F13" s="265"/>
      <c r="G13" s="265"/>
      <c r="H13" s="265"/>
      <c r="I13" s="76"/>
      <c r="U13" s="95"/>
    </row>
    <row r="14" spans="2:34" s="66" customFormat="1" ht="15" customHeight="1" x14ac:dyDescent="0.2">
      <c r="B14" s="77" t="s">
        <v>43</v>
      </c>
      <c r="C14" s="240">
        <v>4</v>
      </c>
      <c r="D14" s="102" t="s">
        <v>138</v>
      </c>
      <c r="E14" s="255" t="s">
        <v>195</v>
      </c>
      <c r="F14" s="255"/>
      <c r="G14" s="255"/>
      <c r="H14" s="255"/>
      <c r="I14" s="76"/>
      <c r="U14" s="95"/>
    </row>
    <row r="15" spans="2:34" s="66" customFormat="1" ht="15" customHeight="1" x14ac:dyDescent="0.2">
      <c r="B15" s="77" t="s">
        <v>121</v>
      </c>
      <c r="C15" s="241">
        <f>21030*(1+G4)</f>
        <v>21030</v>
      </c>
      <c r="D15" s="102" t="s">
        <v>139</v>
      </c>
      <c r="E15" s="278" t="s">
        <v>195</v>
      </c>
      <c r="F15" s="278"/>
      <c r="G15" s="278"/>
      <c r="H15" s="278"/>
      <c r="U15" s="95"/>
    </row>
    <row r="16" spans="2:34" s="66" customFormat="1" ht="39.75" customHeight="1" x14ac:dyDescent="0.2">
      <c r="B16" s="77" t="s">
        <v>118</v>
      </c>
      <c r="C16" s="242">
        <v>0.08</v>
      </c>
      <c r="D16" s="102" t="s">
        <v>131</v>
      </c>
      <c r="E16" s="278" t="s">
        <v>195</v>
      </c>
      <c r="F16" s="278"/>
      <c r="G16" s="278"/>
      <c r="H16" s="278"/>
      <c r="U16" s="95"/>
    </row>
    <row r="17" spans="2:21" s="66" customFormat="1" ht="15" customHeight="1" x14ac:dyDescent="0.2">
      <c r="B17" s="77" t="s">
        <v>122</v>
      </c>
      <c r="C17" s="241">
        <f>C15*(1-C16)</f>
        <v>19347.600000000002</v>
      </c>
      <c r="D17" s="102" t="s">
        <v>139</v>
      </c>
      <c r="E17" s="278" t="s">
        <v>36</v>
      </c>
      <c r="F17" s="278"/>
      <c r="G17" s="278"/>
      <c r="H17" s="278"/>
      <c r="U17" s="95"/>
    </row>
    <row r="18" spans="2:21" s="66" customFormat="1" ht="15" customHeight="1" x14ac:dyDescent="0.2">
      <c r="B18" s="77" t="s">
        <v>120</v>
      </c>
      <c r="C18" s="171">
        <f>(C15)/(C14*8760)</f>
        <v>0.60017123287671237</v>
      </c>
      <c r="D18" s="102" t="s">
        <v>131</v>
      </c>
      <c r="E18" s="278" t="s">
        <v>129</v>
      </c>
      <c r="F18" s="278"/>
      <c r="G18" s="278"/>
      <c r="H18" s="278"/>
      <c r="U18" s="95"/>
    </row>
    <row r="19" spans="2:21" s="66" customFormat="1" ht="15" customHeight="1" x14ac:dyDescent="0.2">
      <c r="B19" s="77"/>
      <c r="C19" s="79"/>
      <c r="D19" s="78"/>
      <c r="U19" s="95"/>
    </row>
    <row r="20" spans="2:21" s="66" customFormat="1" ht="15" customHeight="1" x14ac:dyDescent="0.2">
      <c r="B20" s="108" t="s">
        <v>60</v>
      </c>
      <c r="C20" s="80"/>
      <c r="D20" s="78"/>
      <c r="E20" s="278"/>
      <c r="F20" s="278"/>
      <c r="G20" s="278"/>
      <c r="H20" s="278"/>
      <c r="S20" s="95"/>
    </row>
    <row r="21" spans="2:21" s="66" customFormat="1" ht="12" x14ac:dyDescent="0.2">
      <c r="B21" s="81" t="s">
        <v>101</v>
      </c>
      <c r="C21" s="80">
        <f>2.95*(1+G7)</f>
        <v>2.95</v>
      </c>
      <c r="D21" s="102" t="s">
        <v>140</v>
      </c>
      <c r="E21" s="278" t="s">
        <v>204</v>
      </c>
      <c r="F21" s="278"/>
      <c r="G21" s="278"/>
      <c r="H21" s="278"/>
    </row>
    <row r="22" spans="2:21" s="66" customFormat="1" ht="12" customHeight="1" x14ac:dyDescent="0.2">
      <c r="B22" s="81" t="s">
        <v>198</v>
      </c>
      <c r="C22" s="258">
        <v>0</v>
      </c>
      <c r="D22" s="102" t="s">
        <v>131</v>
      </c>
      <c r="E22" s="255" t="s">
        <v>195</v>
      </c>
      <c r="F22" s="255"/>
      <c r="G22" s="255"/>
      <c r="H22" s="255"/>
    </row>
    <row r="23" spans="2:21" s="66" customFormat="1" ht="15" customHeight="1" x14ac:dyDescent="0.2">
      <c r="B23" s="81" t="s">
        <v>205</v>
      </c>
      <c r="C23" s="245">
        <v>0.12</v>
      </c>
      <c r="D23" s="102" t="s">
        <v>131</v>
      </c>
      <c r="E23" s="259" t="s">
        <v>195</v>
      </c>
      <c r="F23" s="255"/>
      <c r="G23" s="255"/>
      <c r="H23" s="255"/>
      <c r="S23" s="95"/>
    </row>
    <row r="24" spans="2:21" s="66" customFormat="1" ht="15" customHeight="1" x14ac:dyDescent="0.2">
      <c r="B24" s="77" t="s">
        <v>200</v>
      </c>
      <c r="C24" s="261">
        <v>0.01</v>
      </c>
      <c r="D24" s="102" t="s">
        <v>131</v>
      </c>
      <c r="E24" s="260" t="s">
        <v>195</v>
      </c>
      <c r="F24" s="239"/>
      <c r="G24" s="239"/>
      <c r="H24" s="239"/>
      <c r="U24" s="95"/>
    </row>
    <row r="25" spans="2:21" s="66" customFormat="1" ht="15" customHeight="1" x14ac:dyDescent="0.2">
      <c r="B25" s="77"/>
      <c r="C25" s="79"/>
      <c r="D25" s="102"/>
      <c r="E25" s="283"/>
      <c r="F25" s="283"/>
      <c r="G25" s="283"/>
      <c r="H25" s="283"/>
      <c r="U25" s="95"/>
    </row>
    <row r="26" spans="2:21" s="66" customFormat="1" ht="15" customHeight="1" x14ac:dyDescent="0.2">
      <c r="B26" s="108" t="s">
        <v>61</v>
      </c>
      <c r="C26" s="80"/>
      <c r="D26" s="102"/>
      <c r="E26" s="283"/>
      <c r="F26" s="283"/>
      <c r="G26" s="283"/>
      <c r="H26" s="283"/>
      <c r="S26" s="95"/>
    </row>
    <row r="27" spans="2:21" s="66" customFormat="1" ht="15" customHeight="1" x14ac:dyDescent="0.2">
      <c r="B27" s="81" t="s">
        <v>191</v>
      </c>
      <c r="C27" s="243">
        <f>3%*(1+G6)</f>
        <v>0.03</v>
      </c>
      <c r="D27" s="102" t="s">
        <v>131</v>
      </c>
      <c r="E27" s="257" t="s">
        <v>195</v>
      </c>
      <c r="F27" s="257"/>
      <c r="G27" s="257"/>
      <c r="H27" s="257"/>
      <c r="S27" s="95"/>
    </row>
    <row r="28" spans="2:21" s="66" customFormat="1" ht="15" customHeight="1" x14ac:dyDescent="0.2">
      <c r="B28" s="81" t="s">
        <v>44</v>
      </c>
      <c r="C28" s="244">
        <v>0.05</v>
      </c>
      <c r="D28" s="102" t="s">
        <v>131</v>
      </c>
      <c r="E28" s="257" t="s">
        <v>195</v>
      </c>
      <c r="F28" s="257"/>
      <c r="G28" s="257"/>
      <c r="H28" s="257"/>
    </row>
    <row r="29" spans="2:21" s="66" customFormat="1" ht="15" customHeight="1" x14ac:dyDescent="0.2">
      <c r="B29" s="81"/>
      <c r="C29" s="82"/>
      <c r="D29" s="102"/>
      <c r="E29" s="274"/>
      <c r="F29" s="274"/>
      <c r="G29" s="274"/>
      <c r="H29" s="274"/>
    </row>
    <row r="30" spans="2:21" s="66" customFormat="1" ht="15" customHeight="1" x14ac:dyDescent="0.2">
      <c r="B30" s="108" t="s">
        <v>62</v>
      </c>
      <c r="C30" s="80"/>
      <c r="D30" s="102"/>
      <c r="E30" s="239"/>
      <c r="F30" s="239"/>
      <c r="G30" s="239"/>
      <c r="H30" s="239"/>
    </row>
    <row r="31" spans="2:21" s="66" customFormat="1" ht="15" customHeight="1" x14ac:dyDescent="0.2">
      <c r="B31" s="81" t="s">
        <v>45</v>
      </c>
      <c r="C31" s="245">
        <v>0.12</v>
      </c>
      <c r="D31" s="102" t="s">
        <v>131</v>
      </c>
      <c r="E31" s="266" t="s">
        <v>193</v>
      </c>
      <c r="F31" s="267"/>
      <c r="G31" s="267"/>
      <c r="H31" s="267"/>
    </row>
    <row r="32" spans="2:21" s="66" customFormat="1" ht="15" customHeight="1" x14ac:dyDescent="0.2">
      <c r="B32" s="81" t="s">
        <v>192</v>
      </c>
      <c r="C32" s="245">
        <v>0.2</v>
      </c>
      <c r="D32" s="102" t="s">
        <v>131</v>
      </c>
      <c r="E32" s="262" t="s">
        <v>206</v>
      </c>
      <c r="F32" s="263"/>
      <c r="G32" s="263"/>
      <c r="H32" s="263"/>
    </row>
    <row r="33" spans="2:11" s="66" customFormat="1" ht="15" customHeight="1" x14ac:dyDescent="0.2">
      <c r="B33" s="81" t="s">
        <v>14</v>
      </c>
      <c r="C33" s="264">
        <v>0.32445000000000002</v>
      </c>
      <c r="D33" s="102" t="s">
        <v>131</v>
      </c>
      <c r="E33" s="262" t="s">
        <v>206</v>
      </c>
      <c r="F33" s="263"/>
      <c r="G33" s="263"/>
      <c r="H33" s="263"/>
    </row>
    <row r="34" spans="2:11" s="83" customFormat="1" ht="15" customHeight="1" x14ac:dyDescent="0.2">
      <c r="B34" s="81" t="s">
        <v>46</v>
      </c>
      <c r="C34" s="246">
        <v>10</v>
      </c>
      <c r="D34" s="102" t="s">
        <v>88</v>
      </c>
      <c r="E34" s="269" t="s">
        <v>133</v>
      </c>
      <c r="F34" s="270"/>
      <c r="G34" s="270"/>
      <c r="H34" s="270"/>
      <c r="I34" s="80" t="s">
        <v>134</v>
      </c>
      <c r="J34" s="80"/>
      <c r="K34" s="66"/>
    </row>
    <row r="35" spans="2:11" s="83" customFormat="1" ht="24" customHeight="1" x14ac:dyDescent="0.2">
      <c r="B35" s="81" t="s">
        <v>167</v>
      </c>
      <c r="C35" s="84">
        <f>(20*1)+(3*3)</f>
        <v>29</v>
      </c>
      <c r="D35" s="102" t="s">
        <v>135</v>
      </c>
      <c r="E35" s="262" t="s">
        <v>207</v>
      </c>
      <c r="F35" s="256"/>
      <c r="G35" s="256"/>
      <c r="H35" s="256"/>
      <c r="I35" s="80"/>
      <c r="J35" s="80"/>
      <c r="K35" s="66"/>
    </row>
    <row r="36" spans="2:11" s="83" customFormat="1" ht="15" customHeight="1" x14ac:dyDescent="0.2">
      <c r="B36" s="81"/>
      <c r="C36" s="84"/>
      <c r="D36" s="102"/>
      <c r="E36" s="265"/>
      <c r="F36" s="265"/>
      <c r="G36" s="265"/>
      <c r="H36" s="265"/>
      <c r="I36" s="80"/>
      <c r="J36" s="80"/>
      <c r="K36" s="66"/>
    </row>
    <row r="37" spans="2:11" s="83" customFormat="1" ht="15" customHeight="1" x14ac:dyDescent="0.2">
      <c r="B37" s="81"/>
      <c r="C37" s="84"/>
      <c r="D37" s="102"/>
      <c r="E37" s="130"/>
      <c r="F37" s="130"/>
      <c r="G37" s="130"/>
      <c r="H37" s="130"/>
      <c r="I37" s="80"/>
      <c r="J37" s="80"/>
      <c r="K37" s="66"/>
    </row>
    <row r="38" spans="2:11" s="83" customFormat="1" ht="15" customHeight="1" x14ac:dyDescent="0.2">
      <c r="B38" s="69" t="s">
        <v>96</v>
      </c>
      <c r="C38" s="84"/>
      <c r="D38" s="102"/>
      <c r="E38" s="130"/>
      <c r="F38" s="130"/>
      <c r="G38" s="130"/>
      <c r="H38" s="130"/>
      <c r="I38" s="80"/>
      <c r="J38" s="80"/>
      <c r="K38" s="66"/>
    </row>
    <row r="39" spans="2:11" s="83" customFormat="1" ht="15" customHeight="1" x14ac:dyDescent="0.2">
      <c r="B39" s="81" t="s">
        <v>97</v>
      </c>
      <c r="C39" s="247">
        <v>0.7</v>
      </c>
      <c r="D39" s="102" t="s">
        <v>131</v>
      </c>
      <c r="E39" s="268" t="s">
        <v>188</v>
      </c>
      <c r="F39" s="268"/>
      <c r="G39" s="268"/>
      <c r="H39" s="268"/>
      <c r="I39" s="80"/>
      <c r="J39" s="80"/>
      <c r="K39" s="66"/>
    </row>
    <row r="40" spans="2:11" s="83" customFormat="1" ht="15" customHeight="1" x14ac:dyDescent="0.2">
      <c r="B40" s="81" t="s">
        <v>190</v>
      </c>
      <c r="C40" s="247">
        <v>0.3</v>
      </c>
      <c r="D40" s="102" t="s">
        <v>131</v>
      </c>
      <c r="E40" s="268"/>
      <c r="F40" s="268"/>
      <c r="G40" s="268"/>
      <c r="H40" s="268"/>
      <c r="I40" s="80"/>
      <c r="J40" s="80"/>
      <c r="K40" s="66"/>
    </row>
    <row r="41" spans="2:11" s="83" customFormat="1" ht="15" customHeight="1" x14ac:dyDescent="0.2">
      <c r="B41" s="81" t="s">
        <v>98</v>
      </c>
      <c r="C41" s="248">
        <v>0.12</v>
      </c>
      <c r="D41" s="102" t="s">
        <v>131</v>
      </c>
      <c r="E41" s="268"/>
      <c r="F41" s="268"/>
      <c r="G41" s="268"/>
      <c r="H41" s="268"/>
      <c r="I41" s="80"/>
      <c r="J41" s="80"/>
      <c r="K41" s="66"/>
    </row>
    <row r="42" spans="2:11" s="83" customFormat="1" ht="15" customHeight="1" x14ac:dyDescent="0.2">
      <c r="B42" s="81" t="s">
        <v>187</v>
      </c>
      <c r="C42" s="84">
        <v>0</v>
      </c>
      <c r="D42" s="102" t="s">
        <v>65</v>
      </c>
      <c r="E42" s="203" t="s">
        <v>185</v>
      </c>
      <c r="F42" s="205"/>
      <c r="G42" s="205"/>
      <c r="H42" s="205"/>
      <c r="I42" s="221" t="s">
        <v>189</v>
      </c>
      <c r="K42" s="66"/>
    </row>
    <row r="43" spans="2:11" s="83" customFormat="1" ht="15" customHeight="1" x14ac:dyDescent="0.2">
      <c r="B43" s="81" t="s">
        <v>99</v>
      </c>
      <c r="C43" s="84">
        <v>40</v>
      </c>
      <c r="D43" s="102" t="s">
        <v>141</v>
      </c>
      <c r="E43" s="203" t="s">
        <v>185</v>
      </c>
      <c r="F43" s="220"/>
      <c r="G43" s="220"/>
      <c r="H43" s="220"/>
      <c r="I43" s="222" t="s">
        <v>189</v>
      </c>
      <c r="J43" s="80"/>
      <c r="K43" s="66"/>
    </row>
    <row r="44" spans="2:11" s="83" customFormat="1" ht="15" customHeight="1" x14ac:dyDescent="0.2">
      <c r="B44" s="81"/>
      <c r="C44" s="81"/>
      <c r="D44" s="102"/>
      <c r="E44" s="206"/>
      <c r="F44" s="206"/>
      <c r="G44" s="206"/>
      <c r="H44" s="206"/>
      <c r="I44" s="80"/>
      <c r="J44" s="80"/>
      <c r="K44" s="66"/>
    </row>
    <row r="45" spans="2:11" s="83" customFormat="1" ht="15" customHeight="1" x14ac:dyDescent="0.2">
      <c r="B45" s="108" t="s">
        <v>63</v>
      </c>
      <c r="C45" s="84"/>
      <c r="D45" s="102"/>
      <c r="E45" s="265"/>
      <c r="F45" s="265"/>
      <c r="G45" s="265"/>
      <c r="H45" s="265"/>
      <c r="I45" s="80"/>
      <c r="J45" s="80"/>
      <c r="K45" s="66"/>
    </row>
    <row r="46" spans="2:11" s="83" customFormat="1" ht="15" customHeight="1" x14ac:dyDescent="0.2">
      <c r="B46" s="99" t="s">
        <v>47</v>
      </c>
      <c r="C46" s="84"/>
      <c r="D46" s="102"/>
      <c r="E46" s="265"/>
      <c r="F46" s="265"/>
      <c r="G46" s="265"/>
      <c r="H46" s="265"/>
      <c r="I46" s="80"/>
      <c r="J46" s="80"/>
      <c r="K46" s="66"/>
    </row>
    <row r="47" spans="2:11" s="83" customFormat="1" ht="15" customHeight="1" x14ac:dyDescent="0.2">
      <c r="B47" s="81" t="s">
        <v>49</v>
      </c>
      <c r="C47" s="245">
        <v>5.28E-2</v>
      </c>
      <c r="D47" s="102" t="s">
        <v>131</v>
      </c>
      <c r="E47" s="305" t="s">
        <v>130</v>
      </c>
      <c r="F47" s="305"/>
      <c r="G47" s="305"/>
      <c r="H47" s="305"/>
      <c r="I47" s="292" t="s">
        <v>132</v>
      </c>
      <c r="J47" s="80"/>
      <c r="K47" s="66"/>
    </row>
    <row r="48" spans="2:11" s="83" customFormat="1" ht="15" customHeight="1" x14ac:dyDescent="0.2">
      <c r="B48" s="81" t="s">
        <v>48</v>
      </c>
      <c r="C48" s="245">
        <v>3.3399999999999999E-2</v>
      </c>
      <c r="D48" s="102" t="s">
        <v>131</v>
      </c>
      <c r="E48" s="305"/>
      <c r="F48" s="305"/>
      <c r="G48" s="305"/>
      <c r="H48" s="305"/>
      <c r="I48" s="292"/>
      <c r="J48" s="80"/>
      <c r="K48" s="66"/>
    </row>
    <row r="49" spans="2:11" s="83" customFormat="1" ht="15" customHeight="1" x14ac:dyDescent="0.2">
      <c r="B49" s="81" t="s">
        <v>82</v>
      </c>
      <c r="C49" s="245">
        <v>5.28E-2</v>
      </c>
      <c r="D49" s="102" t="s">
        <v>131</v>
      </c>
      <c r="E49" s="305"/>
      <c r="F49" s="305"/>
      <c r="G49" s="305"/>
      <c r="H49" s="305"/>
      <c r="I49" s="292"/>
      <c r="J49" s="80"/>
      <c r="K49" s="66"/>
    </row>
    <row r="50" spans="2:11" s="83" customFormat="1" ht="15" customHeight="1" x14ac:dyDescent="0.2">
      <c r="B50" s="81"/>
      <c r="C50" s="81"/>
      <c r="D50" s="102"/>
      <c r="E50" s="197"/>
      <c r="F50" s="197"/>
      <c r="G50" s="197"/>
      <c r="H50" s="197"/>
      <c r="I50" s="196"/>
      <c r="J50" s="80"/>
      <c r="K50" s="66"/>
    </row>
    <row r="51" spans="2:11" s="83" customFormat="1" ht="15" customHeight="1" x14ac:dyDescent="0.25">
      <c r="B51" s="108" t="s">
        <v>181</v>
      </c>
      <c r="C51" s="200"/>
      <c r="D51" s="102"/>
      <c r="E51" s="198"/>
      <c r="F51" s="198"/>
      <c r="G51" s="198"/>
      <c r="H51" s="198"/>
      <c r="I51" s="196"/>
      <c r="J51" s="80"/>
      <c r="K51" s="66"/>
    </row>
    <row r="52" spans="2:11" s="83" customFormat="1" ht="15" customHeight="1" x14ac:dyDescent="0.2">
      <c r="B52" s="81" t="s">
        <v>182</v>
      </c>
      <c r="C52" s="204">
        <v>1</v>
      </c>
      <c r="D52" s="102" t="s">
        <v>184</v>
      </c>
      <c r="E52" s="203" t="s">
        <v>185</v>
      </c>
      <c r="F52" s="202"/>
      <c r="G52" s="202"/>
      <c r="H52" s="202"/>
      <c r="I52" s="196" t="s">
        <v>186</v>
      </c>
      <c r="J52" s="80"/>
      <c r="K52" s="66"/>
    </row>
    <row r="53" spans="2:11" s="83" customFormat="1" ht="15" customHeight="1" x14ac:dyDescent="0.2">
      <c r="B53" s="81" t="s">
        <v>183</v>
      </c>
      <c r="C53" s="204">
        <v>2</v>
      </c>
      <c r="D53" s="102" t="s">
        <v>184</v>
      </c>
      <c r="E53" s="203" t="s">
        <v>185</v>
      </c>
      <c r="F53" s="197"/>
      <c r="G53" s="197"/>
      <c r="H53" s="197"/>
      <c r="I53" s="196" t="s">
        <v>186</v>
      </c>
      <c r="J53" s="80"/>
      <c r="K53" s="66"/>
    </row>
    <row r="54" spans="2:11" s="83" customFormat="1" ht="15" customHeight="1" x14ac:dyDescent="0.2">
      <c r="B54" s="81"/>
      <c r="C54" s="201"/>
      <c r="D54" s="102"/>
      <c r="E54" s="197"/>
      <c r="F54" s="197"/>
      <c r="G54" s="197"/>
      <c r="H54" s="197"/>
      <c r="I54" s="80"/>
      <c r="J54" s="80"/>
      <c r="K54" s="66"/>
    </row>
    <row r="55" spans="2:11" s="83" customFormat="1" ht="15" customHeight="1" x14ac:dyDescent="0.2">
      <c r="B55" s="108" t="s">
        <v>64</v>
      </c>
      <c r="C55" s="85"/>
      <c r="D55" s="102"/>
      <c r="E55" s="265"/>
      <c r="F55" s="265"/>
      <c r="G55" s="265"/>
      <c r="H55" s="265"/>
      <c r="I55" s="80"/>
      <c r="J55" s="80"/>
      <c r="K55" s="66"/>
    </row>
    <row r="56" spans="2:11" s="57" customFormat="1" ht="15" customHeight="1" x14ac:dyDescent="0.2">
      <c r="B56" s="103" t="s">
        <v>56</v>
      </c>
      <c r="C56" s="249">
        <v>102.8</v>
      </c>
      <c r="D56" s="102" t="s">
        <v>135</v>
      </c>
      <c r="E56" s="304" t="s">
        <v>119</v>
      </c>
      <c r="F56" s="304"/>
      <c r="G56" s="304"/>
      <c r="H56" s="304"/>
      <c r="I56" s="254" t="s">
        <v>136</v>
      </c>
    </row>
    <row r="57" spans="2:11" s="108" customFormat="1" ht="15" customHeight="1" x14ac:dyDescent="0.2">
      <c r="B57" s="103" t="s">
        <v>57</v>
      </c>
      <c r="C57" s="250">
        <v>151.56299999999999</v>
      </c>
      <c r="D57" s="102" t="s">
        <v>135</v>
      </c>
      <c r="E57" s="304"/>
      <c r="F57" s="304"/>
      <c r="G57" s="304"/>
      <c r="H57" s="304"/>
      <c r="I57" s="254" t="s">
        <v>136</v>
      </c>
      <c r="J57" s="107"/>
      <c r="K57" s="57"/>
    </row>
    <row r="58" spans="2:11" s="108" customFormat="1" ht="15" customHeight="1" x14ac:dyDescent="0.2">
      <c r="B58" s="103" t="s">
        <v>82</v>
      </c>
      <c r="C58" s="105">
        <v>18</v>
      </c>
      <c r="D58" s="102" t="s">
        <v>135</v>
      </c>
      <c r="E58" s="304"/>
      <c r="F58" s="304"/>
      <c r="G58" s="304"/>
      <c r="H58" s="304"/>
      <c r="I58" s="254" t="s">
        <v>136</v>
      </c>
      <c r="J58" s="107"/>
      <c r="K58" s="57"/>
    </row>
    <row r="59" spans="2:11" s="108" customFormat="1" ht="15" customHeight="1" x14ac:dyDescent="0.2">
      <c r="B59" s="251" t="s">
        <v>114</v>
      </c>
      <c r="C59" s="251">
        <f>SUM(C56:C58)</f>
        <v>272.363</v>
      </c>
      <c r="D59" s="102" t="s">
        <v>135</v>
      </c>
      <c r="E59" s="304"/>
      <c r="F59" s="304"/>
      <c r="G59" s="304"/>
      <c r="H59" s="304"/>
      <c r="I59" s="254" t="s">
        <v>136</v>
      </c>
      <c r="J59" s="107"/>
      <c r="K59" s="57"/>
    </row>
    <row r="60" spans="2:11" s="108" customFormat="1" ht="15" customHeight="1" x14ac:dyDescent="0.2">
      <c r="B60" s="103"/>
      <c r="C60" s="105"/>
      <c r="D60" s="102"/>
      <c r="E60" s="304"/>
      <c r="F60" s="304"/>
      <c r="G60" s="304"/>
      <c r="H60" s="304"/>
      <c r="I60" s="254" t="s">
        <v>136</v>
      </c>
      <c r="J60" s="107"/>
      <c r="K60" s="57"/>
    </row>
    <row r="61" spans="2:11" s="108" customFormat="1" ht="15" customHeight="1" x14ac:dyDescent="0.2">
      <c r="B61" s="77" t="s">
        <v>208</v>
      </c>
      <c r="C61" s="252">
        <v>5.4269999999999996</v>
      </c>
      <c r="D61" s="102" t="s">
        <v>135</v>
      </c>
      <c r="E61" s="304"/>
      <c r="F61" s="304"/>
      <c r="G61" s="304"/>
      <c r="H61" s="304"/>
      <c r="I61" s="254" t="s">
        <v>136</v>
      </c>
      <c r="J61" s="107"/>
      <c r="K61" s="57"/>
    </row>
    <row r="62" spans="2:11" s="66" customFormat="1" ht="15" customHeight="1" x14ac:dyDescent="0.2">
      <c r="B62" s="81" t="s">
        <v>83</v>
      </c>
      <c r="C62" s="252">
        <v>17.86</v>
      </c>
      <c r="D62" s="102" t="s">
        <v>135</v>
      </c>
      <c r="E62" s="304"/>
      <c r="F62" s="304"/>
      <c r="G62" s="304"/>
      <c r="H62" s="304"/>
      <c r="I62" s="254" t="s">
        <v>136</v>
      </c>
    </row>
    <row r="63" spans="2:11" s="66" customFormat="1" ht="15" customHeight="1" x14ac:dyDescent="0.2">
      <c r="B63" s="81" t="s">
        <v>84</v>
      </c>
      <c r="C63" s="252">
        <v>2.173</v>
      </c>
      <c r="D63" s="102" t="s">
        <v>135</v>
      </c>
      <c r="E63" s="304"/>
      <c r="F63" s="304"/>
      <c r="G63" s="304"/>
      <c r="H63" s="304"/>
      <c r="I63" s="254" t="s">
        <v>136</v>
      </c>
    </row>
    <row r="64" spans="2:11" s="57" customFormat="1" ht="15" customHeight="1" x14ac:dyDescent="0.2">
      <c r="B64" s="104" t="s">
        <v>115</v>
      </c>
      <c r="C64" s="104">
        <f>SUM(C61:C63)</f>
        <v>25.46</v>
      </c>
      <c r="D64" s="102" t="s">
        <v>135</v>
      </c>
      <c r="E64" s="304"/>
      <c r="F64" s="304"/>
      <c r="G64" s="304"/>
      <c r="H64" s="304"/>
      <c r="I64" s="254" t="s">
        <v>136</v>
      </c>
    </row>
    <row r="65" spans="2:11" s="83" customFormat="1" ht="15" customHeight="1" x14ac:dyDescent="0.2">
      <c r="D65" s="102"/>
      <c r="E65" s="304"/>
      <c r="F65" s="304"/>
      <c r="G65" s="304"/>
      <c r="H65" s="304"/>
      <c r="I65" s="254" t="s">
        <v>136</v>
      </c>
      <c r="J65" s="80"/>
      <c r="K65" s="66"/>
    </row>
    <row r="66" spans="2:11" s="94" customFormat="1" ht="15" customHeight="1" x14ac:dyDescent="0.2">
      <c r="B66" s="106" t="s">
        <v>85</v>
      </c>
      <c r="C66" s="106">
        <f>SUM(C59,C64)</f>
        <v>297.82299999999998</v>
      </c>
      <c r="D66" s="102" t="s">
        <v>135</v>
      </c>
      <c r="E66" s="304"/>
      <c r="F66" s="304"/>
      <c r="G66" s="304"/>
      <c r="H66" s="304"/>
      <c r="I66" s="254" t="s">
        <v>136</v>
      </c>
    </row>
    <row r="67" spans="2:11" s="94" customFormat="1" ht="15" customHeight="1" x14ac:dyDescent="0.2">
      <c r="B67" s="131" t="s">
        <v>116</v>
      </c>
      <c r="C67" s="80">
        <v>2.9780000000000002</v>
      </c>
      <c r="D67" s="102" t="s">
        <v>135</v>
      </c>
      <c r="E67" s="304"/>
      <c r="F67" s="304"/>
      <c r="G67" s="304"/>
      <c r="H67" s="304"/>
      <c r="I67" s="254" t="s">
        <v>136</v>
      </c>
    </row>
    <row r="68" spans="2:11" s="94" customFormat="1" ht="15" customHeight="1" x14ac:dyDescent="0.2">
      <c r="B68" s="131" t="s">
        <v>117</v>
      </c>
      <c r="C68" s="107">
        <f>C66+C67</f>
        <v>300.80099999999999</v>
      </c>
      <c r="D68" s="102" t="s">
        <v>135</v>
      </c>
      <c r="E68" s="304"/>
      <c r="F68" s="304"/>
      <c r="G68" s="304"/>
      <c r="H68" s="304"/>
      <c r="I68" s="254" t="s">
        <v>136</v>
      </c>
    </row>
    <row r="69" spans="2:11" s="66" customFormat="1" ht="15" customHeight="1" thickBot="1" x14ac:dyDescent="0.25">
      <c r="B69" s="109" t="s">
        <v>58</v>
      </c>
      <c r="C69" s="253">
        <f>(C66+C67)*(1+G5)</f>
        <v>300.80099999999999</v>
      </c>
      <c r="D69" s="102" t="s">
        <v>135</v>
      </c>
      <c r="E69" s="265"/>
      <c r="F69" s="265"/>
      <c r="G69" s="265"/>
      <c r="H69" s="265"/>
    </row>
    <row r="70" spans="2:11" ht="15" customHeight="1" x14ac:dyDescent="0.2">
      <c r="D70" s="87"/>
      <c r="E70" s="265"/>
      <c r="F70" s="265"/>
      <c r="G70" s="265"/>
      <c r="H70" s="265"/>
    </row>
    <row r="71" spans="2:11" ht="15" customHeight="1" thickBot="1" x14ac:dyDescent="0.25">
      <c r="E71" s="265"/>
      <c r="F71" s="265"/>
      <c r="G71" s="265"/>
      <c r="H71" s="265"/>
    </row>
    <row r="72" spans="2:11" ht="15" customHeight="1" thickBot="1" x14ac:dyDescent="0.25">
      <c r="B72" s="293" t="s">
        <v>102</v>
      </c>
      <c r="C72" s="294"/>
      <c r="D72" s="294"/>
      <c r="E72" s="295"/>
      <c r="F72" s="130"/>
      <c r="G72" s="130"/>
      <c r="H72" s="130"/>
    </row>
    <row r="73" spans="2:11" ht="15" customHeight="1" x14ac:dyDescent="0.2">
      <c r="B73" s="296" t="s">
        <v>103</v>
      </c>
      <c r="C73" s="298" t="s">
        <v>104</v>
      </c>
      <c r="D73" s="300" t="s">
        <v>105</v>
      </c>
      <c r="E73" s="302" t="s">
        <v>106</v>
      </c>
      <c r="F73" s="130"/>
      <c r="G73" s="130"/>
      <c r="H73" s="130"/>
    </row>
    <row r="74" spans="2:11" ht="23.25" customHeight="1" x14ac:dyDescent="0.2">
      <c r="B74" s="297"/>
      <c r="C74" s="299"/>
      <c r="D74" s="301"/>
      <c r="E74" s="303"/>
      <c r="F74" s="130"/>
      <c r="G74" s="130"/>
      <c r="H74" s="130"/>
    </row>
    <row r="75" spans="2:11" ht="15" customHeight="1" x14ac:dyDescent="0.2">
      <c r="B75" s="147"/>
      <c r="C75" s="148" t="s">
        <v>107</v>
      </c>
      <c r="D75" s="149"/>
      <c r="E75" s="150"/>
      <c r="F75" s="130"/>
      <c r="G75" s="130"/>
      <c r="H75" s="130"/>
    </row>
    <row r="76" spans="2:11" ht="15" customHeight="1" x14ac:dyDescent="0.2">
      <c r="B76" s="151" t="s">
        <v>108</v>
      </c>
      <c r="C76" s="148">
        <f>C57</f>
        <v>151.56299999999999</v>
      </c>
      <c r="D76" s="152">
        <f>$D$79/$C$79*(C76)</f>
        <v>15.825015123199554</v>
      </c>
      <c r="E76" s="153">
        <f>C76+D76</f>
        <v>167.38801512319955</v>
      </c>
      <c r="F76" s="130"/>
      <c r="G76" s="130"/>
      <c r="H76" s="174"/>
    </row>
    <row r="77" spans="2:11" ht="15" customHeight="1" x14ac:dyDescent="0.2">
      <c r="B77" s="151" t="s">
        <v>109</v>
      </c>
      <c r="C77" s="148">
        <f>C56</f>
        <v>102.8</v>
      </c>
      <c r="D77" s="152">
        <f>$D$79/$C$79*(C77)</f>
        <v>10.73356660045601</v>
      </c>
      <c r="E77" s="153">
        <f>C77+D77</f>
        <v>113.53356660045601</v>
      </c>
      <c r="F77" s="130"/>
      <c r="G77" s="130"/>
      <c r="H77" s="130"/>
    </row>
    <row r="78" spans="2:11" ht="15" customHeight="1" x14ac:dyDescent="0.2">
      <c r="B78" s="151" t="s">
        <v>110</v>
      </c>
      <c r="C78" s="148">
        <f>C58</f>
        <v>18</v>
      </c>
      <c r="D78" s="152">
        <f>$D$79/$C$79*(C78)</f>
        <v>1.8794182763444376</v>
      </c>
      <c r="E78" s="153">
        <f>C78+D78</f>
        <v>19.879418276344438</v>
      </c>
      <c r="F78" s="130"/>
      <c r="G78" s="130"/>
      <c r="H78" s="130"/>
    </row>
    <row r="79" spans="2:11" ht="15" customHeight="1" thickBot="1" x14ac:dyDescent="0.25">
      <c r="B79" s="154" t="s">
        <v>106</v>
      </c>
      <c r="C79" s="155">
        <f>SUM(C76:C78)</f>
        <v>272.363</v>
      </c>
      <c r="D79" s="156">
        <f>(C64+C67)</f>
        <v>28.438000000000002</v>
      </c>
      <c r="E79" s="157">
        <f>SUM(E76:E78)</f>
        <v>300.80099999999999</v>
      </c>
      <c r="F79" s="130"/>
      <c r="G79" s="130"/>
      <c r="H79" s="130"/>
    </row>
    <row r="80" spans="2:11" ht="15" customHeight="1" x14ac:dyDescent="0.2">
      <c r="E80" s="130"/>
      <c r="F80" s="130"/>
      <c r="G80" s="130"/>
      <c r="H80" s="130"/>
    </row>
    <row r="81" spans="2:23" ht="15" customHeight="1" x14ac:dyDescent="0.2">
      <c r="E81" s="130"/>
      <c r="F81" s="130"/>
      <c r="G81" s="130"/>
      <c r="H81" s="130"/>
    </row>
    <row r="82" spans="2:23" ht="15" customHeight="1" x14ac:dyDescent="0.2">
      <c r="E82" s="130"/>
      <c r="F82" s="130"/>
      <c r="G82" s="130"/>
      <c r="H82" s="130"/>
    </row>
    <row r="83" spans="2:23" s="72" customFormat="1" ht="15" customHeight="1" x14ac:dyDescent="0.2">
      <c r="B83" s="71" t="s">
        <v>67</v>
      </c>
      <c r="U83" s="96"/>
    </row>
    <row r="84" spans="2:23" ht="15" customHeight="1" x14ac:dyDescent="0.2">
      <c r="B84" s="88"/>
      <c r="C84" s="89"/>
      <c r="D84" s="90"/>
      <c r="E84" s="91"/>
      <c r="F84" s="91"/>
      <c r="G84" s="91"/>
      <c r="H84" s="91"/>
      <c r="I84" s="91"/>
      <c r="J84" s="91"/>
      <c r="K84" s="91"/>
      <c r="L84" s="91"/>
      <c r="M84" s="91"/>
      <c r="N84" s="91"/>
      <c r="O84" s="91"/>
      <c r="P84" s="91"/>
      <c r="Q84" s="91"/>
      <c r="R84" s="91"/>
      <c r="S84" s="91"/>
      <c r="T84" s="91"/>
      <c r="U84" s="91"/>
      <c r="V84" s="91"/>
      <c r="W84" s="91"/>
    </row>
    <row r="85" spans="2:23" ht="15" customHeight="1" x14ac:dyDescent="0.2">
      <c r="C85" s="112"/>
      <c r="D85" s="90"/>
      <c r="E85" s="91"/>
      <c r="F85" s="91"/>
      <c r="G85" s="91"/>
      <c r="H85" s="91"/>
      <c r="I85" s="91"/>
      <c r="J85" s="91"/>
      <c r="K85" s="91"/>
      <c r="L85" s="91"/>
      <c r="M85" s="91"/>
      <c r="N85" s="91"/>
      <c r="O85" s="91"/>
      <c r="P85" s="91"/>
      <c r="Q85" s="91"/>
      <c r="R85" s="91"/>
      <c r="S85" s="91"/>
      <c r="T85" s="91"/>
      <c r="U85" s="91"/>
      <c r="V85" s="91"/>
      <c r="W85" s="91"/>
    </row>
    <row r="86" spans="2:23" ht="15" customHeight="1" x14ac:dyDescent="0.2">
      <c r="B86" s="112" t="s">
        <v>55</v>
      </c>
      <c r="C86" s="112"/>
      <c r="D86" s="175"/>
      <c r="E86" s="91"/>
      <c r="F86" s="91"/>
      <c r="G86" s="91"/>
      <c r="H86" s="91"/>
      <c r="I86" s="91"/>
      <c r="J86" s="91"/>
      <c r="K86" s="91"/>
      <c r="L86" s="91"/>
      <c r="M86" s="91"/>
      <c r="N86" s="91"/>
      <c r="O86" s="91"/>
      <c r="P86" s="91"/>
      <c r="Q86" s="91"/>
      <c r="R86" s="91"/>
      <c r="S86" s="91"/>
      <c r="T86" s="91"/>
      <c r="U86" s="91"/>
      <c r="V86" s="91"/>
      <c r="W86" s="91"/>
    </row>
    <row r="87" spans="2:23" s="94" customFormat="1" ht="15" customHeight="1" x14ac:dyDescent="0.2">
      <c r="C87" s="93" t="s">
        <v>163</v>
      </c>
      <c r="D87" s="93" t="s">
        <v>144</v>
      </c>
      <c r="E87" s="93" t="s">
        <v>145</v>
      </c>
      <c r="F87" s="93" t="s">
        <v>146</v>
      </c>
      <c r="G87" s="93" t="s">
        <v>147</v>
      </c>
      <c r="H87" s="93" t="s">
        <v>148</v>
      </c>
      <c r="I87" s="93" t="s">
        <v>149</v>
      </c>
      <c r="J87" s="93" t="s">
        <v>150</v>
      </c>
      <c r="K87" s="93" t="s">
        <v>151</v>
      </c>
      <c r="L87" s="93" t="s">
        <v>152</v>
      </c>
      <c r="M87" s="93" t="s">
        <v>153</v>
      </c>
      <c r="N87" s="93" t="s">
        <v>154</v>
      </c>
      <c r="O87" s="93" t="s">
        <v>155</v>
      </c>
      <c r="P87" s="93" t="s">
        <v>156</v>
      </c>
      <c r="Q87" s="93" t="s">
        <v>157</v>
      </c>
      <c r="R87" s="93" t="s">
        <v>158</v>
      </c>
      <c r="S87" s="93" t="s">
        <v>159</v>
      </c>
      <c r="T87" s="93" t="s">
        <v>160</v>
      </c>
      <c r="U87" s="93" t="s">
        <v>161</v>
      </c>
      <c r="V87" s="93" t="s">
        <v>162</v>
      </c>
      <c r="W87" s="93"/>
    </row>
    <row r="88" spans="2:23" ht="15" customHeight="1" x14ac:dyDescent="0.2">
      <c r="B88" s="119" t="s">
        <v>50</v>
      </c>
      <c r="C88" s="92">
        <f>MIN($E$77*$C$47,90%*$E$77-SUM($B$88:B88))</f>
        <v>5.9945723165040778</v>
      </c>
      <c r="D88" s="92">
        <f>MIN($E$77*$C$47,90%*$E$77-SUM($B$88:C88))</f>
        <v>5.9945723165040778</v>
      </c>
      <c r="E88" s="92">
        <f>MIN($E$77*$C$47,90%*$E$77-SUM($B$88:D88))</f>
        <v>5.9945723165040778</v>
      </c>
      <c r="F88" s="92">
        <f>MIN($E$77*$C$47,90%*$E$77-SUM($B$88:E88))</f>
        <v>5.9945723165040778</v>
      </c>
      <c r="G88" s="92">
        <f>MIN($E$77*$C$47,90%*$E$77-SUM($B$88:F88))</f>
        <v>5.9945723165040778</v>
      </c>
      <c r="H88" s="92">
        <f>MIN($E$77*$C$47,90%*$E$77-SUM($B$88:G88))</f>
        <v>5.9945723165040778</v>
      </c>
      <c r="I88" s="92">
        <f>MIN($E$77*$C$47,90%*$E$77-SUM($B$88:H88))</f>
        <v>5.9945723165040778</v>
      </c>
      <c r="J88" s="92">
        <f>MIN($E$77*$C$47,90%*$E$77-SUM($B$88:I88))</f>
        <v>5.9945723165040778</v>
      </c>
      <c r="K88" s="92">
        <f>MIN($E$77*$C$47,90%*$E$77-SUM($B$88:J88))</f>
        <v>5.9945723165040778</v>
      </c>
      <c r="L88" s="92">
        <f>MIN($E$77*$C$47,90%*$E$77-SUM($B$88:K88))</f>
        <v>5.9945723165040778</v>
      </c>
      <c r="M88" s="92">
        <f>MIN($E$77*$C$47,90%*$E$77-SUM($B$88:L88))</f>
        <v>5.9945723165040778</v>
      </c>
      <c r="N88" s="92">
        <f>MIN($E$77*$C$47,90%*$E$77-SUM($B$88:M88))</f>
        <v>5.9945723165040778</v>
      </c>
      <c r="O88" s="92">
        <f>MIN($E$77*$C$47,90%*$E$77-SUM($B$88:N88))</f>
        <v>5.9945723165040778</v>
      </c>
      <c r="P88" s="92">
        <f>MIN($E$77*$C$47,90%*$E$77-SUM($B$88:O88))</f>
        <v>5.9945723165040778</v>
      </c>
      <c r="Q88" s="92">
        <f>MIN($E$77*$C$47,90%*$E$77-SUM($B$88:P88))</f>
        <v>5.9945723165040778</v>
      </c>
      <c r="R88" s="92">
        <f>MIN($E$77*$C$47,90%*$E$77-SUM($B$88:Q88))</f>
        <v>5.9945723165040778</v>
      </c>
      <c r="S88" s="92">
        <f>MIN($E$77*$C$47,90%*$E$77-SUM($B$88:R88))</f>
        <v>5.9945723165040778</v>
      </c>
      <c r="T88" s="92">
        <f>MIN($E$77*$C$47,90%*$E$77-SUM($B$88:S88))</f>
        <v>0.27248055984109953</v>
      </c>
      <c r="U88" s="92">
        <f>MIN($E$77*$C$47,90%*$E$77-SUM($B$88:T88))</f>
        <v>0</v>
      </c>
      <c r="V88" s="92">
        <f>MIN($E$77*$C$47,90%*$E$77-SUM($B$88:U88))</f>
        <v>0</v>
      </c>
      <c r="W88" s="92"/>
    </row>
    <row r="89" spans="2:23" ht="15" customHeight="1" x14ac:dyDescent="0.2">
      <c r="B89" s="119" t="s">
        <v>68</v>
      </c>
      <c r="C89" s="92">
        <f>MIN($E$76*$C$48,90%*$E$76-SUM($B$89:B89))</f>
        <v>5.5907597051148645</v>
      </c>
      <c r="D89" s="92">
        <f>MIN($E$76*$C$48,90%*$E$76-SUM($B$89:C89))</f>
        <v>5.5907597051148645</v>
      </c>
      <c r="E89" s="92">
        <f>MIN($E$76*$C$48,90%*$E$76-SUM($B$89:D89))</f>
        <v>5.5907597051148645</v>
      </c>
      <c r="F89" s="92">
        <f>MIN($E$76*$C$48,90%*$E$76-SUM($B$89:E89))</f>
        <v>5.5907597051148645</v>
      </c>
      <c r="G89" s="92">
        <f>MIN($E$76*$C$48,90%*$E$76-SUM($B$89:F89))</f>
        <v>5.5907597051148645</v>
      </c>
      <c r="H89" s="92">
        <f>MIN($E$76*$C$48,90%*$E$76-SUM($B$89:G89))</f>
        <v>5.5907597051148645</v>
      </c>
      <c r="I89" s="92">
        <f>MIN($E$76*$C$48,90%*$E$76-SUM($B$89:H89))</f>
        <v>5.5907597051148645</v>
      </c>
      <c r="J89" s="92">
        <f>MIN($E$76*$C$48,90%*$E$76-SUM($B$89:I89))</f>
        <v>5.5907597051148645</v>
      </c>
      <c r="K89" s="92">
        <f>MIN($E$76*$C$48,90%*$E$76-SUM($B$89:J89))</f>
        <v>5.5907597051148645</v>
      </c>
      <c r="L89" s="92">
        <f>MIN($E$76*$C$48,90%*$E$76-SUM($B$89:K89))</f>
        <v>5.5907597051148645</v>
      </c>
      <c r="M89" s="92">
        <f>MIN($E$76*$C$48,90%*$E$76-SUM($B$89:L89))</f>
        <v>5.5907597051148645</v>
      </c>
      <c r="N89" s="92">
        <f>MIN($E$76*$C$48,90%*$E$76-SUM($B$89:M89))</f>
        <v>5.5907597051148645</v>
      </c>
      <c r="O89" s="92">
        <f>MIN($E$76*$C$48,90%*$E$76-SUM($B$89:N89))</f>
        <v>5.5907597051148645</v>
      </c>
      <c r="P89" s="92">
        <f>MIN($E$76*$C$48,90%*$E$76-SUM($B$89:O89))</f>
        <v>5.5907597051148645</v>
      </c>
      <c r="Q89" s="92">
        <f>MIN($E$76*$C$48,90%*$E$76-SUM($B$89:P89))</f>
        <v>5.5907597051148645</v>
      </c>
      <c r="R89" s="92">
        <f>MIN($E$76*$C$48,90%*$E$76-SUM($B$89:Q89))</f>
        <v>5.5907597051148645</v>
      </c>
      <c r="S89" s="92">
        <f>MIN($E$76*$C$48,90%*$E$76-SUM($B$89:R89))</f>
        <v>5.5907597051148645</v>
      </c>
      <c r="T89" s="92">
        <f>MIN($E$76*$C$48,90%*$E$76-SUM($B$89:S89))</f>
        <v>5.5907597051148645</v>
      </c>
      <c r="U89" s="92">
        <f>MIN($E$76*$C$48,90%*$E$76-SUM($B$89:T89))</f>
        <v>5.5907597051148645</v>
      </c>
      <c r="V89" s="92">
        <f>MIN($E$76*$C$48,90%*$E$76-SUM($B$89:U89))</f>
        <v>5.5907597051148645</v>
      </c>
      <c r="W89" s="92"/>
    </row>
    <row r="90" spans="2:23" ht="15" customHeight="1" x14ac:dyDescent="0.2">
      <c r="B90" s="119" t="s">
        <v>82</v>
      </c>
      <c r="C90" s="92">
        <f>MIN($E$78*$C$49,90%*$E$78-SUM($B$90:B90))</f>
        <v>1.0496332849909864</v>
      </c>
      <c r="D90" s="92">
        <f>MIN($E$78*$C$49,90%*$E$78-SUM($B$90:C90))</f>
        <v>1.0496332849909864</v>
      </c>
      <c r="E90" s="92">
        <f>MIN($E$78*$C$49,90%*$E$78-SUM($B$90:D90))</f>
        <v>1.0496332849909864</v>
      </c>
      <c r="F90" s="92">
        <f>MIN($E$78*$C$49,90%*$E$78-SUM($B$90:E90))</f>
        <v>1.0496332849909864</v>
      </c>
      <c r="G90" s="92">
        <f>MIN($E$78*$C$49,90%*$E$78-SUM($B$90:F90))</f>
        <v>1.0496332849909864</v>
      </c>
      <c r="H90" s="92">
        <f>MIN($E$78*$C$49,90%*$E$78-SUM($B$90:G90))</f>
        <v>1.0496332849909864</v>
      </c>
      <c r="I90" s="92">
        <f>MIN($E$78*$C$49,90%*$E$78-SUM($B$90:H90))</f>
        <v>1.0496332849909864</v>
      </c>
      <c r="J90" s="92">
        <f>MIN($E$78*$C$49,90%*$E$78-SUM($B$90:I90))</f>
        <v>1.0496332849909864</v>
      </c>
      <c r="K90" s="92">
        <f>MIN($E$78*$C$49,90%*$E$78-SUM($B$90:J90))</f>
        <v>1.0496332849909864</v>
      </c>
      <c r="L90" s="92">
        <f>MIN($E$78*$C$49,90%*$E$78-SUM($B$90:K90))</f>
        <v>1.0496332849909864</v>
      </c>
      <c r="M90" s="92">
        <f>MIN($E$78*$C$49,90%*$E$78-SUM($B$90:L90))</f>
        <v>1.0496332849909864</v>
      </c>
      <c r="N90" s="92">
        <f>MIN($E$78*$C$49,90%*$E$78-SUM($B$90:M90))</f>
        <v>1.0496332849909864</v>
      </c>
      <c r="O90" s="92">
        <f>MIN($E$78*$C$49,90%*$E$78-SUM($B$90:N90))</f>
        <v>1.0496332849909864</v>
      </c>
      <c r="P90" s="92">
        <f>MIN($E$78*$C$49,90%*$E$78-SUM($B$90:O90))</f>
        <v>1.0496332849909864</v>
      </c>
      <c r="Q90" s="92">
        <f>MIN($E$78*$C$49,90%*$E$78-SUM($B$90:P90))</f>
        <v>1.0496332849909864</v>
      </c>
      <c r="R90" s="92">
        <f>MIN($E$78*$C$49,90%*$E$78-SUM($B$90:Q90))</f>
        <v>1.0496332849909864</v>
      </c>
      <c r="S90" s="92">
        <f>MIN($E$78*$C$49,90%*$E$78-SUM($B$90:R90))</f>
        <v>1.0496332849909864</v>
      </c>
      <c r="T90" s="92">
        <f>MIN($E$78*$C$49,90%*$E$78-SUM($B$90:S90))</f>
        <v>4.7710603863233558E-2</v>
      </c>
      <c r="U90" s="92">
        <f>MIN($E$78*$C$49,90%*$E$78-SUM($B$90:T90))</f>
        <v>0</v>
      </c>
      <c r="V90" s="92">
        <f>MIN($E$78*$C$49,90%*$E$78-SUM($B$90:U90))</f>
        <v>0</v>
      </c>
      <c r="W90" s="92"/>
    </row>
    <row r="91" spans="2:23" s="94" customFormat="1" ht="15" customHeight="1" x14ac:dyDescent="0.2">
      <c r="B91" s="118" t="s">
        <v>6</v>
      </c>
      <c r="C91" s="113">
        <f>SUM(C88:C90)</f>
        <v>12.634965306609928</v>
      </c>
      <c r="D91" s="113">
        <f t="shared" ref="D91:V91" si="0">SUM(D88:D90)</f>
        <v>12.634965306609928</v>
      </c>
      <c r="E91" s="113">
        <f t="shared" si="0"/>
        <v>12.634965306609928</v>
      </c>
      <c r="F91" s="113">
        <f t="shared" si="0"/>
        <v>12.634965306609928</v>
      </c>
      <c r="G91" s="113">
        <f t="shared" si="0"/>
        <v>12.634965306609928</v>
      </c>
      <c r="H91" s="113">
        <f t="shared" si="0"/>
        <v>12.634965306609928</v>
      </c>
      <c r="I91" s="113">
        <f t="shared" si="0"/>
        <v>12.634965306609928</v>
      </c>
      <c r="J91" s="113">
        <f t="shared" si="0"/>
        <v>12.634965306609928</v>
      </c>
      <c r="K91" s="113">
        <f t="shared" si="0"/>
        <v>12.634965306609928</v>
      </c>
      <c r="L91" s="113">
        <f t="shared" si="0"/>
        <v>12.634965306609928</v>
      </c>
      <c r="M91" s="113">
        <f t="shared" si="0"/>
        <v>12.634965306609928</v>
      </c>
      <c r="N91" s="113">
        <f t="shared" si="0"/>
        <v>12.634965306609928</v>
      </c>
      <c r="O91" s="113">
        <f t="shared" si="0"/>
        <v>12.634965306609928</v>
      </c>
      <c r="P91" s="113">
        <f t="shared" si="0"/>
        <v>12.634965306609928</v>
      </c>
      <c r="Q91" s="113">
        <f t="shared" si="0"/>
        <v>12.634965306609928</v>
      </c>
      <c r="R91" s="113">
        <f t="shared" si="0"/>
        <v>12.634965306609928</v>
      </c>
      <c r="S91" s="113">
        <f t="shared" si="0"/>
        <v>12.634965306609928</v>
      </c>
      <c r="T91" s="113">
        <f t="shared" si="0"/>
        <v>5.9109508688191976</v>
      </c>
      <c r="U91" s="113">
        <f t="shared" si="0"/>
        <v>5.5907597051148645</v>
      </c>
      <c r="V91" s="113">
        <f t="shared" si="0"/>
        <v>5.5907597051148645</v>
      </c>
      <c r="W91" s="113"/>
    </row>
    <row r="92" spans="2:23" ht="15" customHeight="1" x14ac:dyDescent="0.2">
      <c r="B92" s="75"/>
      <c r="C92" s="92"/>
      <c r="D92" s="92"/>
      <c r="E92" s="92"/>
      <c r="F92" s="92"/>
      <c r="G92" s="92"/>
      <c r="H92" s="92"/>
      <c r="I92" s="92"/>
      <c r="J92" s="92"/>
      <c r="K92" s="92"/>
      <c r="L92" s="92"/>
      <c r="M92" s="92"/>
      <c r="N92" s="92"/>
      <c r="O92" s="92"/>
      <c r="P92" s="92"/>
      <c r="Q92" s="92"/>
      <c r="R92" s="92"/>
      <c r="S92" s="92"/>
      <c r="T92" s="92"/>
      <c r="U92" s="92"/>
      <c r="V92" s="92"/>
      <c r="W92" s="92"/>
    </row>
    <row r="93" spans="2:23" ht="15" customHeight="1" x14ac:dyDescent="0.2">
      <c r="B93" s="119" t="s">
        <v>69</v>
      </c>
      <c r="C93" s="92">
        <f>E77-SUM(C88:V88)</f>
        <v>11.353356660045606</v>
      </c>
      <c r="D93" s="92"/>
      <c r="E93" s="176"/>
      <c r="F93" s="92"/>
      <c r="G93" s="92"/>
      <c r="H93" s="92"/>
      <c r="I93" s="92"/>
      <c r="J93" s="92"/>
      <c r="K93" s="92"/>
      <c r="L93" s="92"/>
      <c r="M93" s="92"/>
      <c r="N93" s="92"/>
      <c r="O93" s="92"/>
      <c r="P93" s="92"/>
      <c r="Q93" s="92"/>
      <c r="R93" s="92"/>
      <c r="S93" s="92"/>
      <c r="T93" s="92"/>
      <c r="U93" s="92"/>
      <c r="V93" s="92"/>
      <c r="W93" s="92"/>
    </row>
    <row r="94" spans="2:23" ht="15" customHeight="1" x14ac:dyDescent="0.2">
      <c r="B94" s="119" t="s">
        <v>70</v>
      </c>
      <c r="C94" s="92">
        <f>E76-SUM(C89:V89)</f>
        <v>55.572821020902282</v>
      </c>
      <c r="D94" s="92"/>
      <c r="E94" s="92"/>
      <c r="F94" s="92"/>
      <c r="G94" s="92"/>
      <c r="H94" s="92"/>
      <c r="I94" s="92"/>
      <c r="J94" s="92"/>
      <c r="K94" s="92"/>
      <c r="L94" s="92"/>
      <c r="M94" s="92"/>
      <c r="N94" s="92"/>
      <c r="O94" s="92"/>
      <c r="P94" s="92"/>
      <c r="Q94" s="92"/>
      <c r="R94" s="92"/>
      <c r="S94" s="92"/>
      <c r="T94" s="92"/>
      <c r="U94" s="92"/>
      <c r="V94" s="92"/>
      <c r="W94" s="92"/>
    </row>
    <row r="95" spans="2:23" ht="15" customHeight="1" x14ac:dyDescent="0.2">
      <c r="B95" s="119" t="s">
        <v>111</v>
      </c>
      <c r="C95" s="92">
        <f>E78-SUM(C90:V90)</f>
        <v>1.9879418276344438</v>
      </c>
      <c r="D95" s="92"/>
      <c r="E95" s="92"/>
      <c r="F95" s="92"/>
      <c r="G95" s="92"/>
      <c r="H95" s="92"/>
      <c r="I95" s="92"/>
      <c r="J95" s="92"/>
      <c r="K95" s="92"/>
      <c r="L95" s="92"/>
      <c r="M95" s="92"/>
      <c r="N95" s="92"/>
      <c r="O95" s="92"/>
      <c r="P95" s="92"/>
      <c r="Q95" s="92"/>
      <c r="R95" s="92"/>
      <c r="S95" s="92"/>
      <c r="T95" s="92"/>
      <c r="U95" s="92"/>
      <c r="V95" s="92"/>
      <c r="W95" s="92"/>
    </row>
    <row r="96" spans="2:23" ht="15" customHeight="1" x14ac:dyDescent="0.2">
      <c r="B96" s="120" t="s">
        <v>71</v>
      </c>
      <c r="C96" s="114">
        <f>SUM(C93:C95)</f>
        <v>68.914119508582331</v>
      </c>
      <c r="D96" s="92"/>
      <c r="E96" s="92"/>
      <c r="F96" s="92"/>
      <c r="G96" s="92"/>
      <c r="H96" s="92"/>
      <c r="I96" s="92"/>
      <c r="J96" s="92"/>
      <c r="K96" s="92"/>
      <c r="L96" s="92"/>
      <c r="M96" s="92"/>
      <c r="N96" s="92"/>
      <c r="O96" s="92"/>
      <c r="P96" s="92"/>
      <c r="Q96" s="92"/>
      <c r="R96" s="92"/>
      <c r="S96" s="92"/>
      <c r="T96" s="92"/>
      <c r="U96" s="92"/>
      <c r="V96" s="92"/>
      <c r="W96" s="92"/>
    </row>
    <row r="97" spans="1:25" ht="15" customHeight="1" x14ac:dyDescent="0.2">
      <c r="B97" s="88"/>
      <c r="C97" s="92"/>
      <c r="D97" s="92"/>
      <c r="E97" s="92"/>
      <c r="F97" s="92"/>
      <c r="G97" s="92"/>
      <c r="H97" s="92"/>
      <c r="I97" s="92"/>
      <c r="J97" s="92"/>
      <c r="K97" s="92"/>
      <c r="L97" s="92"/>
      <c r="M97" s="92"/>
      <c r="N97" s="92"/>
      <c r="O97" s="92"/>
      <c r="P97" s="92"/>
      <c r="Q97" s="92"/>
      <c r="R97" s="92"/>
      <c r="S97" s="92"/>
      <c r="T97" s="92"/>
      <c r="U97" s="92"/>
      <c r="V97" s="92"/>
      <c r="W97" s="92"/>
    </row>
    <row r="99" spans="1:25" s="72" customFormat="1" ht="15" customHeight="1" x14ac:dyDescent="0.2">
      <c r="B99" s="71" t="s">
        <v>52</v>
      </c>
      <c r="U99" s="96"/>
    </row>
    <row r="101" spans="1:25" s="111" customFormat="1" ht="15" customHeight="1" x14ac:dyDescent="0.2">
      <c r="B101" s="98" t="s">
        <v>65</v>
      </c>
      <c r="C101" s="110" t="str">
        <f>C87</f>
        <v>Year 1</v>
      </c>
      <c r="D101" s="110" t="str">
        <f t="shared" ref="D101:V101" si="1">D87</f>
        <v>Year 2</v>
      </c>
      <c r="E101" s="110" t="str">
        <f t="shared" si="1"/>
        <v>Year 3</v>
      </c>
      <c r="F101" s="110" t="str">
        <f t="shared" si="1"/>
        <v>Year 4</v>
      </c>
      <c r="G101" s="110" t="str">
        <f t="shared" si="1"/>
        <v>Year 5</v>
      </c>
      <c r="H101" s="110" t="str">
        <f t="shared" si="1"/>
        <v>Year 6</v>
      </c>
      <c r="I101" s="110" t="str">
        <f t="shared" si="1"/>
        <v>Year 7</v>
      </c>
      <c r="J101" s="110" t="str">
        <f t="shared" si="1"/>
        <v>Year 8</v>
      </c>
      <c r="K101" s="110" t="str">
        <f t="shared" si="1"/>
        <v>Year 9</v>
      </c>
      <c r="L101" s="110" t="str">
        <f t="shared" si="1"/>
        <v>Year 10</v>
      </c>
      <c r="M101" s="110" t="str">
        <f t="shared" si="1"/>
        <v>Year 11</v>
      </c>
      <c r="N101" s="110" t="str">
        <f t="shared" si="1"/>
        <v>Year 12</v>
      </c>
      <c r="O101" s="110" t="str">
        <f t="shared" si="1"/>
        <v>Year 13</v>
      </c>
      <c r="P101" s="110" t="str">
        <f t="shared" si="1"/>
        <v>Year 14</v>
      </c>
      <c r="Q101" s="110" t="str">
        <f t="shared" si="1"/>
        <v>Year 15</v>
      </c>
      <c r="R101" s="110" t="str">
        <f t="shared" si="1"/>
        <v>Year 16</v>
      </c>
      <c r="S101" s="110" t="str">
        <f t="shared" si="1"/>
        <v>Year 17</v>
      </c>
      <c r="T101" s="110" t="str">
        <f t="shared" si="1"/>
        <v>Year 18</v>
      </c>
      <c r="U101" s="110" t="str">
        <f t="shared" si="1"/>
        <v>Year 19</v>
      </c>
      <c r="V101" s="110" t="str">
        <f t="shared" si="1"/>
        <v>Year 20</v>
      </c>
      <c r="W101" s="110"/>
    </row>
    <row r="102" spans="1:25" ht="15" customHeight="1" x14ac:dyDescent="0.2">
      <c r="B102" s="98" t="s">
        <v>66</v>
      </c>
      <c r="C102" s="100">
        <f>C27*C69</f>
        <v>9.0240299999999998</v>
      </c>
      <c r="D102" s="101">
        <f>C102*(1+$C$28)</f>
        <v>9.4752314999999996</v>
      </c>
      <c r="E102" s="101">
        <f>D102*(1+$C$28)</f>
        <v>9.9489930750000006</v>
      </c>
      <c r="F102" s="101">
        <f>E102*(1+$C$28)</f>
        <v>10.446442728750002</v>
      </c>
      <c r="G102" s="101">
        <f t="shared" ref="G102:V102" si="2">F102*(1+$C$28)</f>
        <v>10.968764865187502</v>
      </c>
      <c r="H102" s="101">
        <f t="shared" si="2"/>
        <v>11.517203108446878</v>
      </c>
      <c r="I102" s="101">
        <f t="shared" si="2"/>
        <v>12.093063263869222</v>
      </c>
      <c r="J102" s="101">
        <f>I102*(1+$C$28)</f>
        <v>12.697716427062684</v>
      </c>
      <c r="K102" s="101">
        <f t="shared" si="2"/>
        <v>13.332602248415819</v>
      </c>
      <c r="L102" s="101">
        <f t="shared" si="2"/>
        <v>13.999232360836611</v>
      </c>
      <c r="M102" s="101">
        <f t="shared" si="2"/>
        <v>14.699193978878442</v>
      </c>
      <c r="N102" s="101">
        <f>M102*(1+$C$28)</f>
        <v>15.434153677822366</v>
      </c>
      <c r="O102" s="101">
        <f t="shared" si="2"/>
        <v>16.205861361713485</v>
      </c>
      <c r="P102" s="101">
        <f t="shared" si="2"/>
        <v>17.016154429799158</v>
      </c>
      <c r="Q102" s="101">
        <f t="shared" si="2"/>
        <v>17.866962151289115</v>
      </c>
      <c r="R102" s="101">
        <f t="shared" si="2"/>
        <v>18.760310258853572</v>
      </c>
      <c r="S102" s="101">
        <f t="shared" si="2"/>
        <v>19.698325771796252</v>
      </c>
      <c r="T102" s="101">
        <f t="shared" si="2"/>
        <v>20.683242060386064</v>
      </c>
      <c r="U102" s="101">
        <f t="shared" si="2"/>
        <v>21.717404163405369</v>
      </c>
      <c r="V102" s="101">
        <f t="shared" si="2"/>
        <v>22.80327437157564</v>
      </c>
      <c r="W102" s="101"/>
    </row>
    <row r="104" spans="1:25" s="72" customFormat="1" ht="15" customHeight="1" x14ac:dyDescent="0.2">
      <c r="B104" s="71" t="s">
        <v>53</v>
      </c>
      <c r="U104" s="96"/>
    </row>
    <row r="106" spans="1:25" ht="15" customHeight="1" x14ac:dyDescent="0.2">
      <c r="B106" s="98" t="s">
        <v>65</v>
      </c>
      <c r="C106" s="110" t="str">
        <f>C87</f>
        <v>Year 1</v>
      </c>
      <c r="D106" s="110" t="str">
        <f t="shared" ref="D106:V106" si="3">D87</f>
        <v>Year 2</v>
      </c>
      <c r="E106" s="110" t="str">
        <f t="shared" si="3"/>
        <v>Year 3</v>
      </c>
      <c r="F106" s="110" t="str">
        <f t="shared" si="3"/>
        <v>Year 4</v>
      </c>
      <c r="G106" s="110" t="str">
        <f t="shared" si="3"/>
        <v>Year 5</v>
      </c>
      <c r="H106" s="110" t="str">
        <f t="shared" si="3"/>
        <v>Year 6</v>
      </c>
      <c r="I106" s="110" t="str">
        <f t="shared" si="3"/>
        <v>Year 7</v>
      </c>
      <c r="J106" s="110" t="str">
        <f t="shared" si="3"/>
        <v>Year 8</v>
      </c>
      <c r="K106" s="110" t="str">
        <f t="shared" si="3"/>
        <v>Year 9</v>
      </c>
      <c r="L106" s="110" t="str">
        <f t="shared" si="3"/>
        <v>Year 10</v>
      </c>
      <c r="M106" s="110" t="str">
        <f t="shared" si="3"/>
        <v>Year 11</v>
      </c>
      <c r="N106" s="110" t="str">
        <f t="shared" si="3"/>
        <v>Year 12</v>
      </c>
      <c r="O106" s="110" t="str">
        <f t="shared" si="3"/>
        <v>Year 13</v>
      </c>
      <c r="P106" s="110" t="str">
        <f t="shared" si="3"/>
        <v>Year 14</v>
      </c>
      <c r="Q106" s="110" t="str">
        <f t="shared" si="3"/>
        <v>Year 15</v>
      </c>
      <c r="R106" s="110" t="str">
        <f t="shared" si="3"/>
        <v>Year 16</v>
      </c>
      <c r="S106" s="110" t="str">
        <f t="shared" si="3"/>
        <v>Year 17</v>
      </c>
      <c r="T106" s="110" t="str">
        <f t="shared" si="3"/>
        <v>Year 18</v>
      </c>
      <c r="U106" s="110" t="str">
        <f t="shared" si="3"/>
        <v>Year 19</v>
      </c>
      <c r="V106" s="110" t="str">
        <f t="shared" si="3"/>
        <v>Year 20</v>
      </c>
      <c r="W106" s="110"/>
    </row>
    <row r="107" spans="1:25" ht="15" customHeight="1" x14ac:dyDescent="0.2">
      <c r="B107" s="98" t="s">
        <v>72</v>
      </c>
      <c r="C107" s="158">
        <f>(Projections!D8*$C$53/12)+(Assumptions!C102*$C$52/12)</f>
        <v>10.169446800000001</v>
      </c>
      <c r="D107" s="158">
        <f>(Projections!E8*$C$53/12)+(Assumptions!D102*$C$52/12)</f>
        <v>10.207046925000002</v>
      </c>
      <c r="E107" s="158">
        <f>(Projections!F8*$C$53/12)+(Assumptions!E102*$C$52/12)</f>
        <v>10.246527056250002</v>
      </c>
      <c r="F107" s="158">
        <f>(Projections!G8*$C$53/12)+(Assumptions!F102*$C$52/12)</f>
        <v>10.287981194062501</v>
      </c>
      <c r="G107" s="158">
        <f>(Projections!H8*$C$53/12)+(Assumptions!G102*$C$52/12)</f>
        <v>10.331508038765627</v>
      </c>
      <c r="H107" s="158">
        <f>(Projections!I8*$C$53/12)+(Assumptions!H102*$C$52/12)</f>
        <v>10.377211225703908</v>
      </c>
      <c r="I107" s="158">
        <f>(Projections!J8*$C$53/12)+(Assumptions!I102*$C$52/12)</f>
        <v>10.425199571989104</v>
      </c>
      <c r="J107" s="158">
        <f>(Projections!K8*$C$53/12)+(Assumptions!J102*$C$52/12)</f>
        <v>10.475587335588559</v>
      </c>
      <c r="K107" s="158">
        <f>(Projections!L8*$C$53/12)+(Assumptions!K102*$C$52/12)</f>
        <v>10.528494487367986</v>
      </c>
      <c r="L107" s="158">
        <f>(Projections!M8*$C$53/12)+(Assumptions!L102*$C$52/12)</f>
        <v>10.584046996736387</v>
      </c>
      <c r="M107" s="158">
        <f>(Projections!N8*$C$53/12)+(Assumptions!M102*$C$52/12)</f>
        <v>10.642377131573205</v>
      </c>
      <c r="N107" s="158">
        <f>(Projections!O8*$C$53/12)+(Assumptions!N102*$C$52/12)</f>
        <v>10.703623773151865</v>
      </c>
      <c r="O107" s="158">
        <f>(Projections!P8*$C$53/12)+(Assumptions!O102*$C$52/12)</f>
        <v>9.6264243468094595</v>
      </c>
      <c r="P107" s="158">
        <f>(Projections!Q8*$C$53/12)+(Assumptions!P102*$C$52/12)</f>
        <v>9.693948769149932</v>
      </c>
      <c r="Q107" s="158">
        <f>(Projections!R8*$C$53/12)+(Assumptions!Q102*$C$52/12)</f>
        <v>9.764849412607429</v>
      </c>
      <c r="R107" s="158">
        <f>(Projections!S8*$C$53/12)+(Assumptions!R102*$C$52/12)</f>
        <v>9.8392950882377992</v>
      </c>
      <c r="S107" s="158">
        <f>(Projections!T8*$C$53/12)+(Assumptions!S102*$C$52/12)</f>
        <v>9.9174630476496901</v>
      </c>
      <c r="T107" s="158">
        <f>(Projections!U8*$C$53/12)+(Assumptions!T102*$C$52/12)</f>
        <v>9.9995394050321735</v>
      </c>
      <c r="U107" s="158">
        <f>(Projections!V8*$C$53/12)+(Assumptions!U102*$C$52/12)</f>
        <v>10.085719580283783</v>
      </c>
      <c r="V107" s="158">
        <f>(Projections!W8*$C$53/12)+(Assumptions!V102*$C$52/12)</f>
        <v>10.176208764297971</v>
      </c>
      <c r="W107" s="158"/>
    </row>
    <row r="109" spans="1:25" ht="15" customHeight="1" x14ac:dyDescent="0.2">
      <c r="B109" s="75" t="s">
        <v>54</v>
      </c>
      <c r="C109" s="159">
        <f>AVERAGE(C107:W107)</f>
        <v>10.20412494751287</v>
      </c>
    </row>
    <row r="112" spans="1:25" s="135" customFormat="1" ht="12.75" x14ac:dyDescent="0.2">
      <c r="A112" s="170"/>
      <c r="B112" s="132" t="s">
        <v>86</v>
      </c>
      <c r="C112" s="164"/>
      <c r="D112" s="169"/>
      <c r="E112" s="164"/>
      <c r="F112" s="2"/>
      <c r="G112" s="1" t="s">
        <v>87</v>
      </c>
      <c r="H112" s="1"/>
      <c r="I112" s="1"/>
      <c r="J112" s="163"/>
      <c r="K112" s="2"/>
      <c r="L112" s="163"/>
      <c r="M112" s="163"/>
      <c r="N112" s="163"/>
      <c r="O112" s="163"/>
      <c r="P112" s="136"/>
      <c r="Q112" s="136"/>
      <c r="R112" s="134"/>
      <c r="S112" s="136"/>
      <c r="T112" s="134"/>
      <c r="U112" s="136"/>
      <c r="V112" s="136"/>
      <c r="W112" s="136"/>
      <c r="X112" s="136"/>
      <c r="Y112" s="136"/>
    </row>
    <row r="113" spans="1:25" s="135" customFormat="1" ht="25.5" x14ac:dyDescent="0.2">
      <c r="A113" s="137" t="s">
        <v>88</v>
      </c>
      <c r="B113" s="137"/>
      <c r="C113" s="137" t="s">
        <v>142</v>
      </c>
      <c r="D113" s="137" t="s">
        <v>168</v>
      </c>
      <c r="E113" s="137" t="s">
        <v>143</v>
      </c>
      <c r="F113" s="137" t="s">
        <v>89</v>
      </c>
      <c r="G113" s="137" t="s">
        <v>90</v>
      </c>
      <c r="H113" s="137" t="s">
        <v>91</v>
      </c>
      <c r="I113" s="1"/>
      <c r="J113" s="164"/>
      <c r="K113" s="164"/>
      <c r="L113" s="164"/>
      <c r="M113" s="164"/>
      <c r="N113" s="164"/>
      <c r="O113" s="165"/>
      <c r="P113" s="133"/>
      <c r="Q113" s="133"/>
      <c r="R113" s="134"/>
      <c r="S113" s="133"/>
      <c r="T113" s="133"/>
      <c r="U113" s="133"/>
      <c r="V113" s="133"/>
      <c r="W113" s="133"/>
      <c r="X113" s="138"/>
      <c r="Y113" s="133"/>
    </row>
    <row r="114" spans="1:25" s="135" customFormat="1" ht="12.75" x14ac:dyDescent="0.2">
      <c r="A114" s="139"/>
      <c r="B114" s="140"/>
      <c r="C114" s="140"/>
      <c r="D114" s="141"/>
      <c r="E114" s="140"/>
      <c r="F114" s="142">
        <f>C41</f>
        <v>0.12</v>
      </c>
      <c r="G114" s="143"/>
      <c r="H114" s="143"/>
      <c r="I114" s="1"/>
      <c r="J114" s="164"/>
      <c r="K114" s="164"/>
      <c r="L114" s="164"/>
      <c r="M114" s="164"/>
      <c r="N114" s="164"/>
      <c r="O114" s="164"/>
      <c r="P114" s="133"/>
      <c r="Q114" s="133"/>
      <c r="R114" s="134"/>
      <c r="S114" s="133"/>
      <c r="T114" s="133"/>
      <c r="U114" s="133"/>
      <c r="V114" s="133"/>
      <c r="W114" s="133"/>
      <c r="X114" s="133"/>
      <c r="Y114" s="133"/>
    </row>
    <row r="115" spans="1:25" s="135" customFormat="1" ht="12.75" x14ac:dyDescent="0.2">
      <c r="A115" s="209" t="s">
        <v>163</v>
      </c>
      <c r="B115" s="207" t="s">
        <v>92</v>
      </c>
      <c r="C115" s="214">
        <f>C69*C39</f>
        <v>210.56069999999997</v>
      </c>
      <c r="D115" s="217">
        <f>($C$115/$C$43)+C35</f>
        <v>34.264017500000001</v>
      </c>
      <c r="E115" s="214">
        <f>C115-D115</f>
        <v>176.29668249999997</v>
      </c>
      <c r="F115" s="214">
        <f>C115*$F$114/4</f>
        <v>6.3168209999999991</v>
      </c>
      <c r="G115" s="214"/>
      <c r="H115" s="214"/>
      <c r="I115" s="1"/>
      <c r="J115" s="166"/>
      <c r="K115" s="164"/>
      <c r="L115" s="167"/>
      <c r="M115" s="167"/>
      <c r="N115" s="168"/>
      <c r="O115" s="167"/>
      <c r="P115" s="145"/>
      <c r="Q115" s="145"/>
      <c r="R115" s="134"/>
      <c r="S115" s="144"/>
      <c r="T115" s="133"/>
      <c r="U115" s="145"/>
      <c r="V115" s="145"/>
      <c r="W115" s="146"/>
      <c r="X115" s="145"/>
      <c r="Y115" s="145"/>
    </row>
    <row r="116" spans="1:25" s="135" customFormat="1" ht="12.75" x14ac:dyDescent="0.2">
      <c r="A116" s="210"/>
      <c r="B116" s="208" t="s">
        <v>95</v>
      </c>
      <c r="C116" s="215">
        <f t="shared" ref="C116:C154" si="4">E115</f>
        <v>176.29668249999997</v>
      </c>
      <c r="D116" s="218">
        <f t="shared" ref="D116:D122" si="5">($C$115/$C$43)</f>
        <v>5.2640174999999996</v>
      </c>
      <c r="E116" s="215">
        <f t="shared" ref="E116:E154" si="6">C116-D116</f>
        <v>171.03266499999998</v>
      </c>
      <c r="F116" s="215">
        <f t="shared" ref="F116:F118" si="7">C116*$F$114/4</f>
        <v>5.2889004749999993</v>
      </c>
      <c r="G116" s="215"/>
      <c r="H116" s="215"/>
      <c r="I116" s="1"/>
      <c r="J116" s="166"/>
      <c r="K116" s="164"/>
      <c r="L116" s="167"/>
      <c r="M116" s="167"/>
      <c r="N116" s="168"/>
      <c r="O116" s="167"/>
      <c r="P116" s="145"/>
      <c r="Q116" s="145"/>
      <c r="R116" s="134"/>
      <c r="S116" s="144"/>
      <c r="T116" s="133"/>
      <c r="U116" s="145"/>
      <c r="V116" s="145"/>
      <c r="W116" s="146"/>
      <c r="X116" s="145"/>
      <c r="Y116" s="145"/>
    </row>
    <row r="117" spans="1:25" s="135" customFormat="1" ht="12.75" x14ac:dyDescent="0.2">
      <c r="A117" s="210"/>
      <c r="B117" s="212" t="s">
        <v>93</v>
      </c>
      <c r="C117" s="215">
        <f t="shared" si="4"/>
        <v>171.03266499999998</v>
      </c>
      <c r="D117" s="218">
        <f t="shared" si="5"/>
        <v>5.2640174999999996</v>
      </c>
      <c r="E117" s="215">
        <f>C117-D117</f>
        <v>165.76864749999999</v>
      </c>
      <c r="F117" s="215">
        <f t="shared" si="7"/>
        <v>5.1309799499999995</v>
      </c>
      <c r="G117" s="215"/>
      <c r="H117" s="215"/>
      <c r="I117" s="1"/>
      <c r="J117" s="166"/>
      <c r="K117" s="164"/>
      <c r="L117" s="167"/>
      <c r="M117" s="167"/>
      <c r="N117" s="168"/>
      <c r="O117" s="167"/>
      <c r="P117" s="145"/>
      <c r="Q117" s="145"/>
      <c r="R117" s="134"/>
      <c r="S117" s="144"/>
      <c r="T117" s="133"/>
      <c r="U117" s="145"/>
      <c r="V117" s="145"/>
      <c r="W117" s="146"/>
      <c r="X117" s="145"/>
      <c r="Y117" s="145"/>
    </row>
    <row r="118" spans="1:25" s="135" customFormat="1" ht="12.75" x14ac:dyDescent="0.2">
      <c r="A118" s="211"/>
      <c r="B118" s="213" t="s">
        <v>94</v>
      </c>
      <c r="C118" s="216">
        <f t="shared" si="4"/>
        <v>165.76864749999999</v>
      </c>
      <c r="D118" s="219">
        <f t="shared" si="5"/>
        <v>5.2640174999999996</v>
      </c>
      <c r="E118" s="216">
        <f>C118-D118</f>
        <v>160.50462999999999</v>
      </c>
      <c r="F118" s="216">
        <f t="shared" si="7"/>
        <v>4.9730594249999998</v>
      </c>
      <c r="G118" s="216">
        <f>SUM(F115:F118)</f>
        <v>21.709760849999999</v>
      </c>
      <c r="H118" s="216">
        <f>SUM(D115:D118)</f>
        <v>50.056070000000005</v>
      </c>
      <c r="I118" s="1"/>
      <c r="J118" s="166"/>
      <c r="K118" s="164"/>
      <c r="L118" s="167"/>
      <c r="M118" s="167"/>
      <c r="N118" s="168"/>
      <c r="O118" s="167"/>
      <c r="P118" s="145"/>
      <c r="Q118" s="145"/>
      <c r="R118" s="134"/>
      <c r="S118" s="144"/>
      <c r="T118" s="133"/>
      <c r="U118" s="145"/>
      <c r="V118" s="145"/>
      <c r="W118" s="146"/>
      <c r="X118" s="145"/>
      <c r="Y118" s="145"/>
    </row>
    <row r="119" spans="1:25" s="135" customFormat="1" ht="12.75" x14ac:dyDescent="0.2">
      <c r="A119" s="209" t="s">
        <v>169</v>
      </c>
      <c r="B119" s="207" t="s">
        <v>92</v>
      </c>
      <c r="C119" s="214">
        <f>E118</f>
        <v>160.50462999999999</v>
      </c>
      <c r="D119" s="217">
        <f t="shared" si="5"/>
        <v>5.2640174999999996</v>
      </c>
      <c r="E119" s="214">
        <f t="shared" si="6"/>
        <v>155.2406125</v>
      </c>
      <c r="F119" s="214">
        <f t="shared" ref="F119:F154" si="8">C119*$F$114/4</f>
        <v>4.8151389</v>
      </c>
      <c r="G119" s="214"/>
      <c r="H119" s="214"/>
      <c r="I119" s="1"/>
      <c r="J119" s="166"/>
      <c r="K119" s="164"/>
      <c r="L119" s="167"/>
      <c r="M119" s="167"/>
      <c r="N119" s="168"/>
      <c r="O119" s="167"/>
      <c r="P119" s="145"/>
      <c r="Q119" s="145"/>
      <c r="R119" s="134"/>
      <c r="S119" s="144"/>
      <c r="T119" s="133"/>
      <c r="U119" s="145"/>
      <c r="V119" s="145"/>
      <c r="W119" s="146"/>
      <c r="X119" s="145"/>
      <c r="Y119" s="145"/>
    </row>
    <row r="120" spans="1:25" s="135" customFormat="1" ht="12.75" x14ac:dyDescent="0.2">
      <c r="A120" s="210"/>
      <c r="B120" s="208" t="s">
        <v>95</v>
      </c>
      <c r="C120" s="215">
        <f t="shared" si="4"/>
        <v>155.2406125</v>
      </c>
      <c r="D120" s="218">
        <f t="shared" si="5"/>
        <v>5.2640174999999996</v>
      </c>
      <c r="E120" s="215">
        <f t="shared" si="6"/>
        <v>149.976595</v>
      </c>
      <c r="F120" s="215">
        <f t="shared" si="8"/>
        <v>4.6572183749999994</v>
      </c>
      <c r="G120" s="215"/>
      <c r="H120" s="215"/>
      <c r="I120" s="1"/>
      <c r="J120" s="166"/>
      <c r="K120" s="164"/>
      <c r="L120" s="167"/>
      <c r="M120" s="167"/>
      <c r="N120" s="168"/>
      <c r="O120" s="167"/>
      <c r="P120" s="145"/>
      <c r="Q120" s="145"/>
      <c r="R120" s="134"/>
      <c r="S120" s="144"/>
      <c r="T120" s="133"/>
      <c r="U120" s="145"/>
      <c r="V120" s="145"/>
      <c r="W120" s="146"/>
      <c r="X120" s="145"/>
      <c r="Y120" s="145"/>
    </row>
    <row r="121" spans="1:25" s="135" customFormat="1" ht="12.75" x14ac:dyDescent="0.2">
      <c r="A121" s="210"/>
      <c r="B121" s="212" t="s">
        <v>93</v>
      </c>
      <c r="C121" s="215">
        <f t="shared" si="4"/>
        <v>149.976595</v>
      </c>
      <c r="D121" s="218">
        <f t="shared" si="5"/>
        <v>5.2640174999999996</v>
      </c>
      <c r="E121" s="215">
        <f t="shared" si="6"/>
        <v>144.71257750000001</v>
      </c>
      <c r="F121" s="215">
        <f t="shared" si="8"/>
        <v>4.4992978499999996</v>
      </c>
      <c r="G121" s="215"/>
      <c r="H121" s="215"/>
      <c r="I121" s="1"/>
      <c r="J121" s="166"/>
      <c r="K121" s="164"/>
      <c r="L121" s="167"/>
      <c r="M121" s="167"/>
      <c r="N121" s="168"/>
      <c r="O121" s="167"/>
      <c r="P121" s="145"/>
      <c r="Q121" s="145"/>
      <c r="R121" s="134"/>
      <c r="S121" s="144"/>
      <c r="T121" s="133"/>
      <c r="U121" s="145"/>
      <c r="V121" s="145"/>
      <c r="W121" s="146"/>
      <c r="X121" s="145"/>
      <c r="Y121" s="145"/>
    </row>
    <row r="122" spans="1:25" s="135" customFormat="1" ht="12.75" x14ac:dyDescent="0.2">
      <c r="A122" s="211"/>
      <c r="B122" s="213" t="s">
        <v>94</v>
      </c>
      <c r="C122" s="216">
        <f t="shared" si="4"/>
        <v>144.71257750000001</v>
      </c>
      <c r="D122" s="219">
        <f t="shared" si="5"/>
        <v>5.2640174999999996</v>
      </c>
      <c r="E122" s="216">
        <f t="shared" si="6"/>
        <v>139.44856000000001</v>
      </c>
      <c r="F122" s="216">
        <f t="shared" si="8"/>
        <v>4.3413773249999998</v>
      </c>
      <c r="G122" s="216">
        <f>SUM(F119:F122)</f>
        <v>18.313032450000001</v>
      </c>
      <c r="H122" s="216">
        <f>SUM(D119:D122)</f>
        <v>21.056069999999998</v>
      </c>
      <c r="I122" s="1"/>
      <c r="J122" s="166"/>
      <c r="K122" s="164"/>
      <c r="L122" s="167"/>
      <c r="M122" s="167"/>
      <c r="N122" s="168"/>
      <c r="O122" s="167"/>
      <c r="P122" s="145"/>
      <c r="Q122" s="145"/>
      <c r="R122" s="134"/>
      <c r="S122" s="144"/>
      <c r="T122" s="133"/>
      <c r="U122" s="145"/>
      <c r="V122" s="145"/>
      <c r="W122" s="146"/>
      <c r="X122" s="145"/>
      <c r="Y122" s="145"/>
    </row>
    <row r="123" spans="1:25" s="135" customFormat="1" ht="12.75" x14ac:dyDescent="0.2">
      <c r="A123" s="209" t="s">
        <v>145</v>
      </c>
      <c r="B123" s="207" t="s">
        <v>92</v>
      </c>
      <c r="C123" s="214">
        <f t="shared" si="4"/>
        <v>139.44856000000001</v>
      </c>
      <c r="D123" s="217">
        <f t="shared" ref="D123:D148" si="9">$C$115/$C$43</f>
        <v>5.2640174999999996</v>
      </c>
      <c r="E123" s="214">
        <f t="shared" si="6"/>
        <v>134.18454250000002</v>
      </c>
      <c r="F123" s="214">
        <f t="shared" si="8"/>
        <v>4.1834568000000001</v>
      </c>
      <c r="G123" s="214"/>
      <c r="H123" s="214"/>
      <c r="I123" s="1"/>
      <c r="J123" s="166"/>
      <c r="K123" s="164"/>
      <c r="L123" s="167"/>
      <c r="M123" s="167"/>
      <c r="N123" s="168"/>
      <c r="O123" s="167"/>
      <c r="P123" s="145"/>
      <c r="Q123" s="145"/>
      <c r="R123" s="134"/>
      <c r="S123" s="144"/>
      <c r="T123" s="133"/>
      <c r="U123" s="145"/>
      <c r="V123" s="145"/>
      <c r="W123" s="146"/>
      <c r="X123" s="145"/>
      <c r="Y123" s="145"/>
    </row>
    <row r="124" spans="1:25" s="135" customFormat="1" ht="12.75" x14ac:dyDescent="0.2">
      <c r="A124" s="210"/>
      <c r="B124" s="208" t="s">
        <v>95</v>
      </c>
      <c r="C124" s="215">
        <f t="shared" si="4"/>
        <v>134.18454250000002</v>
      </c>
      <c r="D124" s="218">
        <f t="shared" si="9"/>
        <v>5.2640174999999996</v>
      </c>
      <c r="E124" s="215">
        <f t="shared" si="6"/>
        <v>128.92052500000003</v>
      </c>
      <c r="F124" s="215">
        <f t="shared" si="8"/>
        <v>4.0255362750000003</v>
      </c>
      <c r="G124" s="215"/>
      <c r="H124" s="215"/>
      <c r="I124" s="1"/>
      <c r="J124" s="166"/>
      <c r="K124" s="164"/>
      <c r="L124" s="167"/>
      <c r="M124" s="167"/>
      <c r="N124" s="168"/>
      <c r="O124" s="167"/>
      <c r="P124" s="145"/>
      <c r="Q124" s="145"/>
      <c r="R124" s="134"/>
      <c r="S124" s="144"/>
      <c r="T124" s="133"/>
      <c r="U124" s="145"/>
      <c r="V124" s="145"/>
      <c r="W124" s="146"/>
      <c r="X124" s="145"/>
      <c r="Y124" s="145"/>
    </row>
    <row r="125" spans="1:25" s="135" customFormat="1" ht="12.75" x14ac:dyDescent="0.2">
      <c r="A125" s="210"/>
      <c r="B125" s="212" t="s">
        <v>93</v>
      </c>
      <c r="C125" s="215">
        <f t="shared" si="4"/>
        <v>128.92052500000003</v>
      </c>
      <c r="D125" s="218">
        <f t="shared" si="9"/>
        <v>5.2640174999999996</v>
      </c>
      <c r="E125" s="215">
        <f t="shared" si="6"/>
        <v>123.65650750000003</v>
      </c>
      <c r="F125" s="215">
        <f t="shared" si="8"/>
        <v>3.8676157500000006</v>
      </c>
      <c r="G125" s="215"/>
      <c r="H125" s="215"/>
      <c r="I125" s="1"/>
      <c r="J125" s="166"/>
      <c r="K125" s="164"/>
      <c r="L125" s="167"/>
      <c r="M125" s="167"/>
      <c r="N125" s="168"/>
      <c r="O125" s="167"/>
      <c r="P125" s="145"/>
      <c r="Q125" s="145"/>
      <c r="R125" s="134"/>
      <c r="S125" s="144"/>
      <c r="T125" s="133"/>
      <c r="U125" s="145"/>
      <c r="V125" s="145"/>
      <c r="W125" s="146"/>
      <c r="X125" s="145"/>
      <c r="Y125" s="145"/>
    </row>
    <row r="126" spans="1:25" s="135" customFormat="1" ht="12.75" x14ac:dyDescent="0.2">
      <c r="A126" s="211"/>
      <c r="B126" s="213" t="s">
        <v>94</v>
      </c>
      <c r="C126" s="216">
        <f t="shared" si="4"/>
        <v>123.65650750000003</v>
      </c>
      <c r="D126" s="219">
        <f t="shared" si="9"/>
        <v>5.2640174999999996</v>
      </c>
      <c r="E126" s="216">
        <f t="shared" si="6"/>
        <v>118.39249000000004</v>
      </c>
      <c r="F126" s="216">
        <f t="shared" si="8"/>
        <v>3.7096952250000008</v>
      </c>
      <c r="G126" s="216">
        <f>SUM(F123:F126)</f>
        <v>15.786304050000002</v>
      </c>
      <c r="H126" s="216">
        <f>SUM(D123:D126)</f>
        <v>21.056069999999998</v>
      </c>
      <c r="I126" s="1"/>
      <c r="J126" s="166"/>
      <c r="K126" s="164"/>
      <c r="L126" s="167"/>
      <c r="M126" s="167"/>
      <c r="N126" s="168"/>
      <c r="O126" s="167"/>
      <c r="P126" s="145"/>
      <c r="Q126" s="145"/>
      <c r="R126" s="134"/>
      <c r="S126" s="144"/>
      <c r="T126" s="133"/>
      <c r="U126" s="145"/>
      <c r="V126" s="145"/>
      <c r="W126" s="146"/>
      <c r="X126" s="145"/>
      <c r="Y126" s="145"/>
    </row>
    <row r="127" spans="1:25" s="135" customFormat="1" ht="12.75" x14ac:dyDescent="0.2">
      <c r="A127" s="209" t="s">
        <v>146</v>
      </c>
      <c r="B127" s="207" t="s">
        <v>92</v>
      </c>
      <c r="C127" s="214">
        <f t="shared" si="4"/>
        <v>118.39249000000004</v>
      </c>
      <c r="D127" s="217">
        <f t="shared" si="9"/>
        <v>5.2640174999999996</v>
      </c>
      <c r="E127" s="214">
        <f t="shared" si="6"/>
        <v>113.12847250000004</v>
      </c>
      <c r="F127" s="214">
        <f t="shared" si="8"/>
        <v>3.5517747000000011</v>
      </c>
      <c r="G127" s="214"/>
      <c r="H127" s="214"/>
      <c r="I127" s="1"/>
      <c r="J127" s="166"/>
      <c r="K127" s="164"/>
      <c r="L127" s="167"/>
      <c r="M127" s="167"/>
      <c r="N127" s="168"/>
      <c r="O127" s="167"/>
      <c r="P127" s="145"/>
      <c r="Q127" s="145"/>
      <c r="R127" s="134"/>
      <c r="S127" s="144"/>
      <c r="T127" s="133"/>
      <c r="U127" s="145"/>
      <c r="V127" s="145"/>
      <c r="W127" s="146"/>
      <c r="X127" s="145"/>
      <c r="Y127" s="145"/>
    </row>
    <row r="128" spans="1:25" s="135" customFormat="1" ht="12.75" x14ac:dyDescent="0.2">
      <c r="A128" s="210"/>
      <c r="B128" s="208" t="s">
        <v>95</v>
      </c>
      <c r="C128" s="215">
        <f t="shared" si="4"/>
        <v>113.12847250000004</v>
      </c>
      <c r="D128" s="218">
        <f t="shared" si="9"/>
        <v>5.2640174999999996</v>
      </c>
      <c r="E128" s="215">
        <f t="shared" si="6"/>
        <v>107.86445500000005</v>
      </c>
      <c r="F128" s="215">
        <f t="shared" si="8"/>
        <v>3.3938541750000013</v>
      </c>
      <c r="G128" s="215"/>
      <c r="H128" s="215"/>
      <c r="I128" s="1"/>
      <c r="J128" s="166"/>
      <c r="K128" s="164"/>
      <c r="L128" s="167"/>
      <c r="M128" s="167"/>
      <c r="N128" s="168"/>
      <c r="O128" s="167"/>
      <c r="P128" s="145"/>
      <c r="Q128" s="145"/>
      <c r="R128" s="134"/>
      <c r="S128" s="144"/>
      <c r="T128" s="133"/>
      <c r="U128" s="145"/>
      <c r="V128" s="145"/>
      <c r="W128" s="146"/>
      <c r="X128" s="145"/>
      <c r="Y128" s="145"/>
    </row>
    <row r="129" spans="1:25" s="135" customFormat="1" ht="12.75" x14ac:dyDescent="0.2">
      <c r="A129" s="210"/>
      <c r="B129" s="212" t="s">
        <v>93</v>
      </c>
      <c r="C129" s="215">
        <f t="shared" si="4"/>
        <v>107.86445500000005</v>
      </c>
      <c r="D129" s="218">
        <f t="shared" si="9"/>
        <v>5.2640174999999996</v>
      </c>
      <c r="E129" s="215">
        <f t="shared" si="6"/>
        <v>102.60043750000006</v>
      </c>
      <c r="F129" s="215">
        <f t="shared" si="8"/>
        <v>3.2359336500000015</v>
      </c>
      <c r="G129" s="215"/>
      <c r="H129" s="215"/>
      <c r="I129" s="1"/>
      <c r="J129" s="166"/>
      <c r="K129" s="164"/>
      <c r="L129" s="167"/>
      <c r="M129" s="167"/>
      <c r="N129" s="168"/>
      <c r="O129" s="167"/>
      <c r="P129" s="145"/>
      <c r="Q129" s="145"/>
      <c r="R129" s="134"/>
      <c r="S129" s="144"/>
      <c r="T129" s="133"/>
      <c r="U129" s="145"/>
      <c r="V129" s="145"/>
      <c r="W129" s="146"/>
      <c r="X129" s="145"/>
      <c r="Y129" s="145"/>
    </row>
    <row r="130" spans="1:25" s="135" customFormat="1" ht="12.75" x14ac:dyDescent="0.2">
      <c r="A130" s="211"/>
      <c r="B130" s="213" t="s">
        <v>94</v>
      </c>
      <c r="C130" s="216">
        <f t="shared" si="4"/>
        <v>102.60043750000006</v>
      </c>
      <c r="D130" s="219">
        <f t="shared" si="9"/>
        <v>5.2640174999999996</v>
      </c>
      <c r="E130" s="216">
        <f t="shared" si="6"/>
        <v>97.336420000000061</v>
      </c>
      <c r="F130" s="216">
        <f t="shared" si="8"/>
        <v>3.0780131250000013</v>
      </c>
      <c r="G130" s="216">
        <f>SUM(F127:F130)</f>
        <v>13.259575650000006</v>
      </c>
      <c r="H130" s="216">
        <f>SUM(D127:D130)</f>
        <v>21.056069999999998</v>
      </c>
      <c r="I130" s="1"/>
      <c r="J130" s="166"/>
      <c r="K130" s="164"/>
      <c r="L130" s="167"/>
      <c r="M130" s="167"/>
      <c r="N130" s="168"/>
      <c r="O130" s="167"/>
      <c r="P130" s="145"/>
      <c r="Q130" s="145"/>
      <c r="R130" s="134"/>
      <c r="S130" s="144"/>
      <c r="T130" s="133"/>
      <c r="U130" s="145"/>
      <c r="V130" s="145"/>
      <c r="W130" s="146"/>
      <c r="X130" s="145"/>
      <c r="Y130" s="145"/>
    </row>
    <row r="131" spans="1:25" s="135" customFormat="1" ht="12.75" x14ac:dyDescent="0.2">
      <c r="A131" s="209" t="s">
        <v>147</v>
      </c>
      <c r="B131" s="207" t="s">
        <v>92</v>
      </c>
      <c r="C131" s="214">
        <f t="shared" si="4"/>
        <v>97.336420000000061</v>
      </c>
      <c r="D131" s="217">
        <f t="shared" si="9"/>
        <v>5.2640174999999996</v>
      </c>
      <c r="E131" s="214">
        <f t="shared" si="6"/>
        <v>92.072402500000067</v>
      </c>
      <c r="F131" s="214">
        <f t="shared" si="8"/>
        <v>2.9200926000000016</v>
      </c>
      <c r="G131" s="214"/>
      <c r="H131" s="214"/>
      <c r="I131" s="1"/>
      <c r="J131" s="166"/>
      <c r="K131" s="164"/>
      <c r="L131" s="167"/>
      <c r="M131" s="167"/>
      <c r="N131" s="168"/>
      <c r="O131" s="167"/>
      <c r="P131" s="145"/>
      <c r="Q131" s="145"/>
      <c r="R131" s="134"/>
      <c r="S131" s="144"/>
      <c r="T131" s="133"/>
      <c r="U131" s="145"/>
      <c r="V131" s="145"/>
      <c r="W131" s="146"/>
      <c r="X131" s="145"/>
      <c r="Y131" s="145"/>
    </row>
    <row r="132" spans="1:25" s="135" customFormat="1" ht="12.75" x14ac:dyDescent="0.2">
      <c r="A132" s="210"/>
      <c r="B132" s="208" t="s">
        <v>95</v>
      </c>
      <c r="C132" s="215">
        <f t="shared" si="4"/>
        <v>92.072402500000067</v>
      </c>
      <c r="D132" s="218">
        <f t="shared" si="9"/>
        <v>5.2640174999999996</v>
      </c>
      <c r="E132" s="215">
        <f t="shared" si="6"/>
        <v>86.808385000000072</v>
      </c>
      <c r="F132" s="215">
        <f t="shared" si="8"/>
        <v>2.7621720750000018</v>
      </c>
      <c r="G132" s="215"/>
      <c r="H132" s="215"/>
      <c r="I132" s="1"/>
      <c r="J132" s="166"/>
      <c r="K132" s="164"/>
      <c r="L132" s="167"/>
      <c r="M132" s="167"/>
      <c r="N132" s="168"/>
      <c r="O132" s="167"/>
      <c r="P132" s="145"/>
      <c r="Q132" s="145"/>
      <c r="R132" s="134"/>
      <c r="S132" s="144"/>
      <c r="T132" s="133"/>
      <c r="U132" s="145"/>
      <c r="V132" s="145"/>
      <c r="W132" s="146"/>
      <c r="X132" s="145"/>
      <c r="Y132" s="145"/>
    </row>
    <row r="133" spans="1:25" s="135" customFormat="1" ht="12.75" x14ac:dyDescent="0.2">
      <c r="A133" s="210"/>
      <c r="B133" s="212" t="s">
        <v>93</v>
      </c>
      <c r="C133" s="215">
        <f t="shared" si="4"/>
        <v>86.808385000000072</v>
      </c>
      <c r="D133" s="218">
        <f t="shared" si="9"/>
        <v>5.2640174999999996</v>
      </c>
      <c r="E133" s="215">
        <f t="shared" si="6"/>
        <v>81.544367500000078</v>
      </c>
      <c r="F133" s="215">
        <f t="shared" si="8"/>
        <v>2.6042515500000021</v>
      </c>
      <c r="G133" s="215"/>
      <c r="H133" s="215"/>
      <c r="I133" s="1"/>
      <c r="J133" s="166"/>
      <c r="K133" s="164"/>
      <c r="L133" s="167"/>
      <c r="M133" s="167"/>
      <c r="N133" s="168"/>
      <c r="O133" s="167"/>
      <c r="P133" s="145"/>
      <c r="Q133" s="145"/>
      <c r="R133" s="134"/>
      <c r="S133" s="144"/>
      <c r="T133" s="133"/>
      <c r="U133" s="145"/>
      <c r="V133" s="145"/>
      <c r="W133" s="146"/>
      <c r="X133" s="145"/>
      <c r="Y133" s="145"/>
    </row>
    <row r="134" spans="1:25" s="135" customFormat="1" ht="12.75" x14ac:dyDescent="0.2">
      <c r="A134" s="211"/>
      <c r="B134" s="213" t="s">
        <v>94</v>
      </c>
      <c r="C134" s="216">
        <f t="shared" si="4"/>
        <v>81.544367500000078</v>
      </c>
      <c r="D134" s="219">
        <f t="shared" si="9"/>
        <v>5.2640174999999996</v>
      </c>
      <c r="E134" s="216">
        <f t="shared" si="6"/>
        <v>76.280350000000084</v>
      </c>
      <c r="F134" s="216">
        <f t="shared" si="8"/>
        <v>2.4463310250000023</v>
      </c>
      <c r="G134" s="216">
        <f>SUM(F131:F134)</f>
        <v>10.732847250000008</v>
      </c>
      <c r="H134" s="216">
        <f>SUM(D131:D134)</f>
        <v>21.056069999999998</v>
      </c>
      <c r="I134" s="1"/>
      <c r="J134" s="166"/>
      <c r="K134" s="164"/>
      <c r="L134" s="167"/>
      <c r="M134" s="167"/>
      <c r="N134" s="168"/>
      <c r="O134" s="167"/>
      <c r="P134" s="145"/>
      <c r="Q134" s="145"/>
      <c r="R134" s="134"/>
      <c r="S134" s="144"/>
      <c r="T134" s="133"/>
      <c r="U134" s="145"/>
      <c r="V134" s="145"/>
      <c r="W134" s="146"/>
      <c r="X134" s="145"/>
      <c r="Y134" s="145"/>
    </row>
    <row r="135" spans="1:25" s="135" customFormat="1" ht="12.75" x14ac:dyDescent="0.2">
      <c r="A135" s="209" t="s">
        <v>148</v>
      </c>
      <c r="B135" s="207" t="s">
        <v>92</v>
      </c>
      <c r="C135" s="214">
        <f t="shared" si="4"/>
        <v>76.280350000000084</v>
      </c>
      <c r="D135" s="217">
        <f t="shared" si="9"/>
        <v>5.2640174999999996</v>
      </c>
      <c r="E135" s="214">
        <f t="shared" si="6"/>
        <v>71.01633250000009</v>
      </c>
      <c r="F135" s="214">
        <f t="shared" si="8"/>
        <v>2.2884105000000026</v>
      </c>
      <c r="G135" s="214"/>
      <c r="H135" s="214"/>
      <c r="I135" s="1"/>
      <c r="J135" s="166"/>
      <c r="K135" s="164"/>
      <c r="L135" s="167"/>
      <c r="M135" s="167"/>
      <c r="N135" s="168"/>
      <c r="O135" s="167"/>
      <c r="P135" s="145"/>
      <c r="Q135" s="145"/>
      <c r="R135" s="134"/>
      <c r="S135" s="144"/>
      <c r="T135" s="133"/>
      <c r="U135" s="145"/>
      <c r="V135" s="145"/>
      <c r="W135" s="146"/>
      <c r="X135" s="145"/>
      <c r="Y135" s="145"/>
    </row>
    <row r="136" spans="1:25" s="135" customFormat="1" ht="12.75" x14ac:dyDescent="0.2">
      <c r="A136" s="210"/>
      <c r="B136" s="208" t="s">
        <v>95</v>
      </c>
      <c r="C136" s="215">
        <f t="shared" si="4"/>
        <v>71.01633250000009</v>
      </c>
      <c r="D136" s="218">
        <f t="shared" si="9"/>
        <v>5.2640174999999996</v>
      </c>
      <c r="E136" s="215">
        <f t="shared" si="6"/>
        <v>65.752315000000095</v>
      </c>
      <c r="F136" s="215">
        <f t="shared" si="8"/>
        <v>2.1304899750000028</v>
      </c>
      <c r="G136" s="215"/>
      <c r="H136" s="215"/>
      <c r="I136" s="1"/>
      <c r="J136" s="166"/>
      <c r="K136" s="164"/>
      <c r="L136" s="167"/>
      <c r="M136" s="167"/>
      <c r="N136" s="168"/>
      <c r="O136" s="167"/>
      <c r="P136" s="145"/>
      <c r="Q136" s="145"/>
      <c r="R136" s="134"/>
      <c r="S136" s="144"/>
      <c r="T136" s="133"/>
      <c r="U136" s="145"/>
      <c r="V136" s="145"/>
      <c r="W136" s="146"/>
      <c r="X136" s="145"/>
      <c r="Y136" s="145"/>
    </row>
    <row r="137" spans="1:25" s="135" customFormat="1" ht="12.75" x14ac:dyDescent="0.2">
      <c r="A137" s="210"/>
      <c r="B137" s="212" t="s">
        <v>93</v>
      </c>
      <c r="C137" s="215">
        <f t="shared" si="4"/>
        <v>65.752315000000095</v>
      </c>
      <c r="D137" s="218">
        <f t="shared" si="9"/>
        <v>5.2640174999999996</v>
      </c>
      <c r="E137" s="215">
        <f t="shared" si="6"/>
        <v>60.488297500000094</v>
      </c>
      <c r="F137" s="215">
        <f t="shared" si="8"/>
        <v>1.9725694500000028</v>
      </c>
      <c r="G137" s="215"/>
      <c r="H137" s="215"/>
      <c r="I137" s="1"/>
      <c r="J137" s="166"/>
      <c r="K137" s="164"/>
      <c r="L137" s="167"/>
      <c r="M137" s="167"/>
      <c r="N137" s="168"/>
      <c r="O137" s="167"/>
      <c r="P137" s="145"/>
      <c r="Q137" s="145"/>
      <c r="R137" s="134"/>
      <c r="S137" s="144"/>
      <c r="T137" s="133"/>
      <c r="U137" s="145"/>
      <c r="V137" s="145"/>
      <c r="W137" s="146"/>
      <c r="X137" s="145"/>
      <c r="Y137" s="145"/>
    </row>
    <row r="138" spans="1:25" s="135" customFormat="1" ht="12.75" x14ac:dyDescent="0.2">
      <c r="A138" s="211"/>
      <c r="B138" s="213" t="s">
        <v>94</v>
      </c>
      <c r="C138" s="216">
        <f t="shared" si="4"/>
        <v>60.488297500000094</v>
      </c>
      <c r="D138" s="219">
        <f t="shared" si="9"/>
        <v>5.2640174999999996</v>
      </c>
      <c r="E138" s="216">
        <f t="shared" si="6"/>
        <v>55.224280000000093</v>
      </c>
      <c r="F138" s="216">
        <f t="shared" si="8"/>
        <v>1.8146489250000029</v>
      </c>
      <c r="G138" s="216">
        <f>SUM(F135:F138)</f>
        <v>8.20611885000001</v>
      </c>
      <c r="H138" s="216">
        <f>SUM(D135:D138)</f>
        <v>21.056069999999998</v>
      </c>
      <c r="I138" s="1"/>
      <c r="J138" s="166"/>
      <c r="K138" s="164"/>
      <c r="L138" s="167"/>
      <c r="M138" s="167"/>
      <c r="N138" s="168"/>
      <c r="O138" s="167"/>
      <c r="P138" s="145"/>
      <c r="Q138" s="145"/>
      <c r="R138" s="134"/>
      <c r="S138" s="144"/>
      <c r="T138" s="133"/>
      <c r="U138" s="145"/>
      <c r="V138" s="145"/>
      <c r="W138" s="146"/>
      <c r="X138" s="145"/>
      <c r="Y138" s="145"/>
    </row>
    <row r="139" spans="1:25" s="135" customFormat="1" ht="12.75" x14ac:dyDescent="0.2">
      <c r="A139" s="209" t="s">
        <v>149</v>
      </c>
      <c r="B139" s="207" t="s">
        <v>92</v>
      </c>
      <c r="C139" s="214">
        <f t="shared" si="4"/>
        <v>55.224280000000093</v>
      </c>
      <c r="D139" s="217">
        <f t="shared" si="9"/>
        <v>5.2640174999999996</v>
      </c>
      <c r="E139" s="214">
        <f t="shared" si="6"/>
        <v>49.960262500000091</v>
      </c>
      <c r="F139" s="214">
        <f t="shared" si="8"/>
        <v>1.6567284000000027</v>
      </c>
      <c r="G139" s="214"/>
      <c r="H139" s="214"/>
      <c r="I139" s="1"/>
      <c r="J139" s="166"/>
      <c r="K139" s="164"/>
      <c r="L139" s="167"/>
      <c r="M139" s="167"/>
      <c r="N139" s="168"/>
      <c r="O139" s="167"/>
      <c r="P139" s="145"/>
      <c r="Q139" s="145"/>
      <c r="R139" s="134"/>
      <c r="S139" s="144"/>
      <c r="T139" s="133"/>
      <c r="U139" s="145"/>
      <c r="V139" s="145"/>
      <c r="W139" s="146"/>
      <c r="X139" s="145"/>
      <c r="Y139" s="145"/>
    </row>
    <row r="140" spans="1:25" s="135" customFormat="1" ht="12.75" x14ac:dyDescent="0.2">
      <c r="A140" s="210"/>
      <c r="B140" s="208" t="s">
        <v>95</v>
      </c>
      <c r="C140" s="215">
        <f t="shared" si="4"/>
        <v>49.960262500000091</v>
      </c>
      <c r="D140" s="218">
        <f t="shared" si="9"/>
        <v>5.2640174999999996</v>
      </c>
      <c r="E140" s="215">
        <f t="shared" si="6"/>
        <v>44.69624500000009</v>
      </c>
      <c r="F140" s="215">
        <f t="shared" si="8"/>
        <v>1.4988078750000027</v>
      </c>
      <c r="G140" s="215"/>
      <c r="H140" s="215"/>
      <c r="I140" s="1"/>
      <c r="J140" s="166"/>
      <c r="K140" s="164"/>
      <c r="L140" s="167"/>
      <c r="M140" s="167"/>
      <c r="N140" s="168"/>
      <c r="O140" s="167"/>
      <c r="P140" s="145"/>
      <c r="Q140" s="145"/>
      <c r="R140" s="134"/>
      <c r="S140" s="144"/>
      <c r="T140" s="133"/>
      <c r="U140" s="145"/>
      <c r="V140" s="145"/>
      <c r="W140" s="146"/>
      <c r="X140" s="145"/>
      <c r="Y140" s="145"/>
    </row>
    <row r="141" spans="1:25" s="135" customFormat="1" ht="12.75" x14ac:dyDescent="0.2">
      <c r="A141" s="210"/>
      <c r="B141" s="212" t="s">
        <v>93</v>
      </c>
      <c r="C141" s="215">
        <f t="shared" si="4"/>
        <v>44.69624500000009</v>
      </c>
      <c r="D141" s="218">
        <f t="shared" si="9"/>
        <v>5.2640174999999996</v>
      </c>
      <c r="E141" s="215">
        <f t="shared" si="6"/>
        <v>39.432227500000089</v>
      </c>
      <c r="F141" s="215">
        <f t="shared" si="8"/>
        <v>1.3408873500000027</v>
      </c>
      <c r="G141" s="215"/>
      <c r="H141" s="215"/>
      <c r="I141" s="1"/>
      <c r="J141" s="166"/>
      <c r="K141" s="164"/>
      <c r="L141" s="167"/>
      <c r="M141" s="167"/>
      <c r="N141" s="168"/>
      <c r="O141" s="167"/>
      <c r="P141" s="145"/>
      <c r="Q141" s="145"/>
      <c r="R141" s="134"/>
      <c r="S141" s="144"/>
      <c r="T141" s="133"/>
      <c r="U141" s="145"/>
      <c r="V141" s="145"/>
      <c r="W141" s="146"/>
      <c r="X141" s="145"/>
      <c r="Y141" s="145"/>
    </row>
    <row r="142" spans="1:25" s="135" customFormat="1" ht="12.75" x14ac:dyDescent="0.2">
      <c r="A142" s="211"/>
      <c r="B142" s="213" t="s">
        <v>94</v>
      </c>
      <c r="C142" s="216">
        <f t="shared" si="4"/>
        <v>39.432227500000089</v>
      </c>
      <c r="D142" s="219">
        <f t="shared" si="9"/>
        <v>5.2640174999999996</v>
      </c>
      <c r="E142" s="216">
        <f t="shared" si="6"/>
        <v>34.168210000000087</v>
      </c>
      <c r="F142" s="216">
        <f t="shared" si="8"/>
        <v>1.1829668250000027</v>
      </c>
      <c r="G142" s="216">
        <f>SUM(F139:F142)</f>
        <v>5.6793904500000112</v>
      </c>
      <c r="H142" s="216">
        <f>SUM(D139:D142)</f>
        <v>21.056069999999998</v>
      </c>
      <c r="I142" s="1"/>
      <c r="J142" s="166"/>
      <c r="K142" s="164"/>
      <c r="L142" s="167"/>
      <c r="M142" s="167"/>
      <c r="N142" s="168"/>
      <c r="O142" s="167"/>
      <c r="P142" s="145"/>
      <c r="Q142" s="145"/>
      <c r="R142" s="134"/>
      <c r="S142" s="144"/>
      <c r="T142" s="133"/>
      <c r="U142" s="145"/>
      <c r="V142" s="145"/>
      <c r="W142" s="146"/>
      <c r="X142" s="145"/>
      <c r="Y142" s="145"/>
    </row>
    <row r="143" spans="1:25" s="135" customFormat="1" ht="12.75" x14ac:dyDescent="0.2">
      <c r="A143" s="209" t="s">
        <v>150</v>
      </c>
      <c r="B143" s="207" t="s">
        <v>92</v>
      </c>
      <c r="C143" s="214">
        <f t="shared" si="4"/>
        <v>34.168210000000087</v>
      </c>
      <c r="D143" s="217">
        <f t="shared" si="9"/>
        <v>5.2640174999999996</v>
      </c>
      <c r="E143" s="214">
        <f t="shared" si="6"/>
        <v>28.904192500000086</v>
      </c>
      <c r="F143" s="214">
        <f t="shared" si="8"/>
        <v>1.0250463000000025</v>
      </c>
      <c r="G143" s="214"/>
      <c r="H143" s="214"/>
      <c r="I143" s="1"/>
      <c r="J143" s="166"/>
      <c r="K143" s="164"/>
      <c r="L143" s="167"/>
      <c r="M143" s="167"/>
      <c r="N143" s="168"/>
      <c r="O143" s="167"/>
      <c r="P143" s="145"/>
      <c r="Q143" s="145"/>
      <c r="R143" s="134"/>
      <c r="S143" s="144"/>
      <c r="T143" s="133"/>
      <c r="U143" s="145"/>
      <c r="V143" s="145"/>
      <c r="W143" s="146"/>
      <c r="X143" s="145"/>
      <c r="Y143" s="145"/>
    </row>
    <row r="144" spans="1:25" s="135" customFormat="1" ht="12.75" x14ac:dyDescent="0.2">
      <c r="A144" s="210"/>
      <c r="B144" s="208" t="s">
        <v>95</v>
      </c>
      <c r="C144" s="215">
        <f t="shared" si="4"/>
        <v>28.904192500000086</v>
      </c>
      <c r="D144" s="218">
        <f t="shared" si="9"/>
        <v>5.2640174999999996</v>
      </c>
      <c r="E144" s="215">
        <f t="shared" si="6"/>
        <v>23.640175000000085</v>
      </c>
      <c r="F144" s="215">
        <f t="shared" si="8"/>
        <v>0.86712577500000254</v>
      </c>
      <c r="G144" s="215"/>
      <c r="H144" s="215"/>
      <c r="I144" s="1"/>
      <c r="J144" s="166"/>
      <c r="K144" s="164"/>
      <c r="L144" s="167"/>
      <c r="M144" s="167"/>
      <c r="N144" s="168"/>
      <c r="O144" s="167"/>
      <c r="P144" s="145"/>
      <c r="Q144" s="145"/>
      <c r="R144" s="134"/>
      <c r="S144" s="144"/>
      <c r="T144" s="133"/>
      <c r="U144" s="145"/>
      <c r="V144" s="145"/>
      <c r="W144" s="146"/>
      <c r="X144" s="145"/>
      <c r="Y144" s="145"/>
    </row>
    <row r="145" spans="1:8" ht="15.75" customHeight="1" x14ac:dyDescent="0.2">
      <c r="A145" s="210"/>
      <c r="B145" s="212" t="s">
        <v>93</v>
      </c>
      <c r="C145" s="215">
        <f t="shared" si="4"/>
        <v>23.640175000000085</v>
      </c>
      <c r="D145" s="218">
        <f t="shared" si="9"/>
        <v>5.2640174999999996</v>
      </c>
      <c r="E145" s="215">
        <f t="shared" si="6"/>
        <v>18.376157500000083</v>
      </c>
      <c r="F145" s="215">
        <f t="shared" si="8"/>
        <v>0.70920525000000256</v>
      </c>
      <c r="G145" s="215"/>
      <c r="H145" s="215"/>
    </row>
    <row r="146" spans="1:8" ht="15" customHeight="1" x14ac:dyDescent="0.2">
      <c r="A146" s="211"/>
      <c r="B146" s="213" t="s">
        <v>94</v>
      </c>
      <c r="C146" s="216">
        <f t="shared" si="4"/>
        <v>18.376157500000083</v>
      </c>
      <c r="D146" s="219">
        <f t="shared" si="9"/>
        <v>5.2640174999999996</v>
      </c>
      <c r="E146" s="216">
        <f t="shared" si="6"/>
        <v>13.112140000000084</v>
      </c>
      <c r="F146" s="216">
        <f t="shared" si="8"/>
        <v>0.55128472500000247</v>
      </c>
      <c r="G146" s="216">
        <f>SUM(F143:F146)</f>
        <v>3.1526620500000102</v>
      </c>
      <c r="H146" s="216">
        <f>SUM(D143:D146)</f>
        <v>21.056069999999998</v>
      </c>
    </row>
    <row r="147" spans="1:8" ht="15" customHeight="1" x14ac:dyDescent="0.2">
      <c r="A147" s="209" t="s">
        <v>151</v>
      </c>
      <c r="B147" s="207" t="s">
        <v>92</v>
      </c>
      <c r="C147" s="214">
        <f t="shared" si="4"/>
        <v>13.112140000000084</v>
      </c>
      <c r="D147" s="217">
        <f t="shared" si="9"/>
        <v>5.2640174999999996</v>
      </c>
      <c r="E147" s="214">
        <f t="shared" si="6"/>
        <v>7.848122500000084</v>
      </c>
      <c r="F147" s="214">
        <f t="shared" si="8"/>
        <v>0.3933642000000025</v>
      </c>
      <c r="G147" s="214"/>
      <c r="H147" s="214"/>
    </row>
    <row r="148" spans="1:8" ht="15" customHeight="1" x14ac:dyDescent="0.2">
      <c r="A148" s="210"/>
      <c r="B148" s="208" t="s">
        <v>95</v>
      </c>
      <c r="C148" s="215">
        <f t="shared" si="4"/>
        <v>7.848122500000084</v>
      </c>
      <c r="D148" s="218">
        <f t="shared" si="9"/>
        <v>5.2640174999999996</v>
      </c>
      <c r="E148" s="215">
        <f t="shared" si="6"/>
        <v>2.5841050000000845</v>
      </c>
      <c r="F148" s="215">
        <f t="shared" si="8"/>
        <v>0.23544367500000252</v>
      </c>
      <c r="G148" s="215"/>
      <c r="H148" s="215"/>
    </row>
    <row r="149" spans="1:8" ht="15" customHeight="1" x14ac:dyDescent="0.2">
      <c r="A149" s="210"/>
      <c r="B149" s="212" t="s">
        <v>93</v>
      </c>
      <c r="C149" s="215">
        <f t="shared" si="4"/>
        <v>2.5841050000000845</v>
      </c>
      <c r="D149" s="218">
        <f t="shared" ref="D149:D154" si="10">IF(($C$115/$C$43)&gt;=C149,C149,0)</f>
        <v>2.5841050000000845</v>
      </c>
      <c r="E149" s="215">
        <f t="shared" si="6"/>
        <v>0</v>
      </c>
      <c r="F149" s="215">
        <f t="shared" si="8"/>
        <v>7.7523150000002525E-2</v>
      </c>
      <c r="G149" s="215"/>
      <c r="H149" s="215"/>
    </row>
    <row r="150" spans="1:8" ht="15" customHeight="1" x14ac:dyDescent="0.2">
      <c r="A150" s="211"/>
      <c r="B150" s="213" t="s">
        <v>94</v>
      </c>
      <c r="C150" s="216">
        <f t="shared" si="4"/>
        <v>0</v>
      </c>
      <c r="D150" s="219">
        <f t="shared" si="10"/>
        <v>0</v>
      </c>
      <c r="E150" s="216">
        <f t="shared" si="6"/>
        <v>0</v>
      </c>
      <c r="F150" s="216">
        <f t="shared" si="8"/>
        <v>0</v>
      </c>
      <c r="G150" s="216">
        <f>SUM(F147:F150)</f>
        <v>0.70633102500000755</v>
      </c>
      <c r="H150" s="216">
        <f>SUM(D147:D150)</f>
        <v>13.112140000000084</v>
      </c>
    </row>
    <row r="151" spans="1:8" ht="15" customHeight="1" x14ac:dyDescent="0.2">
      <c r="A151" s="209" t="s">
        <v>152</v>
      </c>
      <c r="B151" s="207" t="s">
        <v>92</v>
      </c>
      <c r="C151" s="214">
        <f t="shared" si="4"/>
        <v>0</v>
      </c>
      <c r="D151" s="217">
        <f t="shared" si="10"/>
        <v>0</v>
      </c>
      <c r="E151" s="214">
        <f t="shared" si="6"/>
        <v>0</v>
      </c>
      <c r="F151" s="214">
        <f t="shared" si="8"/>
        <v>0</v>
      </c>
      <c r="G151" s="214"/>
      <c r="H151" s="214"/>
    </row>
    <row r="152" spans="1:8" ht="15" customHeight="1" x14ac:dyDescent="0.2">
      <c r="A152" s="210"/>
      <c r="B152" s="208" t="s">
        <v>95</v>
      </c>
      <c r="C152" s="215">
        <f t="shared" si="4"/>
        <v>0</v>
      </c>
      <c r="D152" s="218">
        <f t="shared" si="10"/>
        <v>0</v>
      </c>
      <c r="E152" s="215">
        <f t="shared" si="6"/>
        <v>0</v>
      </c>
      <c r="F152" s="215">
        <f t="shared" si="8"/>
        <v>0</v>
      </c>
      <c r="G152" s="215"/>
      <c r="H152" s="215"/>
    </row>
    <row r="153" spans="1:8" ht="15" customHeight="1" x14ac:dyDescent="0.2">
      <c r="A153" s="210"/>
      <c r="B153" s="212" t="s">
        <v>93</v>
      </c>
      <c r="C153" s="215">
        <f t="shared" si="4"/>
        <v>0</v>
      </c>
      <c r="D153" s="218">
        <f t="shared" si="10"/>
        <v>0</v>
      </c>
      <c r="E153" s="215">
        <f t="shared" si="6"/>
        <v>0</v>
      </c>
      <c r="F153" s="215">
        <f t="shared" si="8"/>
        <v>0</v>
      </c>
      <c r="G153" s="215"/>
      <c r="H153" s="215"/>
    </row>
    <row r="154" spans="1:8" ht="15" customHeight="1" x14ac:dyDescent="0.2">
      <c r="A154" s="211"/>
      <c r="B154" s="213" t="s">
        <v>94</v>
      </c>
      <c r="C154" s="216">
        <f t="shared" si="4"/>
        <v>0</v>
      </c>
      <c r="D154" s="219">
        <f t="shared" si="10"/>
        <v>0</v>
      </c>
      <c r="E154" s="216">
        <f t="shared" si="6"/>
        <v>0</v>
      </c>
      <c r="F154" s="216">
        <f t="shared" si="8"/>
        <v>0</v>
      </c>
      <c r="G154" s="216">
        <f>SUM(F151:F154)</f>
        <v>0</v>
      </c>
      <c r="H154" s="216">
        <f>SUM(D151:D154)</f>
        <v>0</v>
      </c>
    </row>
  </sheetData>
  <sheetProtection formatCells="0" formatColumns="0" formatRows="0" insertColumns="0" insertRows="0" insertHyperlinks="0" deleteColumns="0" deleteRows="0" selectLockedCells="1" sort="0" autoFilter="0" pivotTables="0"/>
  <customSheetViews>
    <customSheetView guid="{2D20C0F7-1037-4A18-A61E-F564F28214BE}" showPageBreaks="1" printArea="1" topLeftCell="B11">
      <selection activeCell="C27" sqref="C27"/>
      <pageMargins left="0.74803149606299213" right="0.74803149606299213" top="0.6692913385826772" bottom="2.204724409448819" header="0.51181102362204722" footer="2.0866141732283467"/>
      <printOptions horizontalCentered="1" verticalCentered="1"/>
      <pageSetup paperSize="9" orientation="portrait" horizontalDpi="4294967294" verticalDpi="300" r:id="rId1"/>
      <headerFooter alignWithMargins="0">
        <oddFooter>&amp;L&amp;B Confidential&amp;B&amp;C&amp;D&amp;RPage &amp;P</oddFooter>
      </headerFooter>
    </customSheetView>
    <customSheetView guid="{2CEDD2B9-1453-441E-94CE-79524362E6A4}" topLeftCell="C1">
      <selection activeCell="K7" sqref="K7"/>
      <pageMargins left="0.74803149606299213" right="0.74803149606299213" top="0.6692913385826772" bottom="2.204724409448819" header="0.51181102362204722" footer="2.0866141732283467"/>
      <printOptions horizontalCentered="1" verticalCentered="1"/>
      <pageSetup paperSize="9" orientation="portrait" horizontalDpi="4294967294" verticalDpi="300" r:id="rId2"/>
      <headerFooter alignWithMargins="0">
        <oddFooter>&amp;L&amp;B Confidential&amp;B&amp;C&amp;D&amp;RPage &amp;P</oddFooter>
      </headerFooter>
    </customSheetView>
    <customSheetView guid="{8AF19479-4C16-465C-826A-BA33DB0C519F}" showPageBreaks="1" printArea="1">
      <selection activeCell="A36" sqref="A36"/>
      <pageMargins left="0.74803149606299213" right="0.74803149606299213" top="0.6692913385826772" bottom="2.204724409448819" header="0.51181102362204722" footer="2.0866141732283467"/>
      <printOptions horizontalCentered="1" verticalCentered="1"/>
      <pageSetup paperSize="9" orientation="portrait" horizontalDpi="4294967294" verticalDpi="300" r:id="rId3"/>
      <headerFooter alignWithMargins="0">
        <oddFooter>&amp;L&amp;B Confidential&amp;B&amp;C&amp;D&amp;RPage &amp;P</oddFooter>
      </headerFooter>
    </customSheetView>
    <customSheetView guid="{08E761ED-2884-4595-B653-336056D2CEBA}">
      <selection activeCell="G7" sqref="G7"/>
      <pageMargins left="0.74803149606299213" right="0.74803149606299213" top="0.6692913385826772" bottom="2.204724409448819" header="0.51181102362204722" footer="2.0866141732283467"/>
      <printOptions horizontalCentered="1" verticalCentered="1"/>
      <pageSetup paperSize="9" orientation="portrait" horizontalDpi="4294967294" verticalDpi="300" r:id="rId4"/>
      <headerFooter alignWithMargins="0">
        <oddFooter>&amp;L&amp;B Confidential&amp;B&amp;C&amp;D&amp;RPage &amp;P</oddFooter>
      </headerFooter>
    </customSheetView>
    <customSheetView guid="{5BE2AE54-87B0-4624-BD31-BF8894FF4897}" topLeftCell="A50">
      <selection activeCell="C56" sqref="C56"/>
      <pageMargins left="0.74803149606299213" right="0.74803149606299213" top="0.6692913385826772" bottom="2.204724409448819" header="0.51181102362204722" footer="2.0866141732283467"/>
      <printOptions horizontalCentered="1" verticalCentered="1"/>
      <pageSetup paperSize="9" orientation="portrait" horizontalDpi="4294967294" verticalDpi="300" r:id="rId5"/>
      <headerFooter alignWithMargins="0">
        <oddFooter>&amp;L&amp;B Confidential&amp;B&amp;C&amp;D&amp;RPage &amp;P</oddFooter>
      </headerFooter>
    </customSheetView>
    <customSheetView guid="{9150F2CC-AF3D-4623-895A-4254A73DAA6F}">
      <selection activeCell="G8" sqref="G8"/>
      <pageMargins left="0.74803149606299213" right="0.74803149606299213" top="0.6692913385826772" bottom="2.204724409448819" header="0.51181102362204722" footer="2.0866141732283467"/>
      <printOptions horizontalCentered="1" verticalCentered="1"/>
      <pageSetup paperSize="9" orientation="portrait" horizontalDpi="4294967294" verticalDpi="300" r:id="rId6"/>
      <headerFooter alignWithMargins="0">
        <oddFooter>&amp;L&amp;B Confidential&amp;B&amp;C&amp;D&amp;RPage &amp;P</oddFooter>
      </headerFooter>
    </customSheetView>
    <customSheetView guid="{C3E62452-AD71-4E68-89BB-05B3368381D4}" showPageBreaks="1" printArea="1">
      <selection activeCell="G5" sqref="G5"/>
      <pageMargins left="0.74803149606299213" right="0.74803149606299213" top="0.6692913385826772" bottom="2.204724409448819" header="0.51181102362204722" footer="2.0866141732283467"/>
      <printOptions horizontalCentered="1" verticalCentered="1"/>
      <pageSetup paperSize="9" orientation="portrait" horizontalDpi="4294967294" verticalDpi="300" r:id="rId7"/>
      <headerFooter alignWithMargins="0">
        <oddFooter>&amp;L&amp;B Confidential&amp;B&amp;C&amp;D&amp;RPage &amp;P</oddFooter>
      </headerFooter>
    </customSheetView>
    <customSheetView guid="{8BF9B530-CAE5-4243-B03F-ABECCF1738B4}" showPageBreaks="1" printArea="1">
      <selection activeCell="C17" sqref="C17"/>
      <pageMargins left="0.74803149606299213" right="0.74803149606299213" top="0.6692913385826772" bottom="2.204724409448819" header="0.51181102362204722" footer="2.0866141732283467"/>
      <printOptions horizontalCentered="1" verticalCentered="1"/>
      <pageSetup paperSize="9" orientation="portrait" horizontalDpi="4294967294" verticalDpi="300" r:id="rId8"/>
      <headerFooter alignWithMargins="0">
        <oddFooter>&amp;L&amp;B Confidential&amp;B&amp;C&amp;D&amp;RPage &amp;P</oddFooter>
      </headerFooter>
    </customSheetView>
    <customSheetView guid="{A7C9A8E3-662B-468C-AF84-34E30A75F371}" printArea="1" topLeftCell="A4">
      <selection activeCell="C23" sqref="C23"/>
      <pageMargins left="0.74803149606299213" right="0.74803149606299213" top="0.6692913385826772" bottom="2.204724409448819" header="0.51181102362204722" footer="2.0866141732283467"/>
      <printOptions horizontalCentered="1" verticalCentered="1"/>
      <pageSetup paperSize="9" orientation="portrait" horizontalDpi="4294967294" verticalDpi="300" r:id="rId9"/>
      <headerFooter alignWithMargins="0">
        <oddFooter>&amp;L&amp;B Confidential&amp;B&amp;C&amp;D&amp;RPage &amp;P</oddFooter>
      </headerFooter>
    </customSheetView>
    <customSheetView guid="{86F6B4CD-A0C4-48C6-AD6C-F37B6D55AA0C}" showPageBreaks="1" printArea="1" topLeftCell="A3">
      <selection activeCell="G7" sqref="G7"/>
      <pageMargins left="0.74803149606299213" right="0.74803149606299213" top="0.6692913385826772" bottom="2.204724409448819" header="0.51181102362204722" footer="2.0866141732283467"/>
      <printOptions horizontalCentered="1" verticalCentered="1"/>
      <pageSetup paperSize="9" orientation="portrait" horizontalDpi="4294967294" verticalDpi="300" r:id="rId10"/>
      <headerFooter alignWithMargins="0">
        <oddFooter>&amp;L&amp;B Confidential&amp;B&amp;C&amp;D&amp;RPage &amp;P</oddFooter>
      </headerFooter>
    </customSheetView>
    <customSheetView guid="{83D67E10-79C1-4AD7-9ED8-F6E10CA6D44A}" topLeftCell="A93">
      <selection activeCell="C100" sqref="C100"/>
      <pageMargins left="0.74803149606299213" right="0.74803149606299213" top="0.6692913385826772" bottom="2.204724409448819" header="0.51181102362204722" footer="2.0866141732283467"/>
      <printOptions horizontalCentered="1" verticalCentered="1"/>
      <pageSetup paperSize="9" orientation="portrait" horizontalDpi="4294967294" verticalDpi="300" r:id="rId11"/>
      <headerFooter alignWithMargins="0">
        <oddFooter>&amp;L&amp;B Confidential&amp;B&amp;C&amp;D&amp;RPage &amp;P</oddFooter>
      </headerFooter>
    </customSheetView>
  </customSheetViews>
  <mergeCells count="39">
    <mergeCell ref="I47:I49"/>
    <mergeCell ref="B72:E72"/>
    <mergeCell ref="B73:B74"/>
    <mergeCell ref="C73:C74"/>
    <mergeCell ref="D73:D74"/>
    <mergeCell ref="E73:E74"/>
    <mergeCell ref="E71:H71"/>
    <mergeCell ref="E55:H55"/>
    <mergeCell ref="E70:H70"/>
    <mergeCell ref="E69:H69"/>
    <mergeCell ref="E56:H68"/>
    <mergeCell ref="E47:H49"/>
    <mergeCell ref="C2:D2"/>
    <mergeCell ref="C3:D3"/>
    <mergeCell ref="C4:D4"/>
    <mergeCell ref="C5:D5"/>
    <mergeCell ref="C7:D7"/>
    <mergeCell ref="F2:I2"/>
    <mergeCell ref="E13:H13"/>
    <mergeCell ref="E29:H29"/>
    <mergeCell ref="H4:H7"/>
    <mergeCell ref="E12:H12"/>
    <mergeCell ref="E20:H20"/>
    <mergeCell ref="E21:H21"/>
    <mergeCell ref="I4:I7"/>
    <mergeCell ref="F8:G8"/>
    <mergeCell ref="E18:H18"/>
    <mergeCell ref="E16:H16"/>
    <mergeCell ref="E17:H17"/>
    <mergeCell ref="E26:H26"/>
    <mergeCell ref="E25:H25"/>
    <mergeCell ref="E15:H15"/>
    <mergeCell ref="E11:H11"/>
    <mergeCell ref="E46:H46"/>
    <mergeCell ref="E31:H31"/>
    <mergeCell ref="E36:H36"/>
    <mergeCell ref="E39:H41"/>
    <mergeCell ref="E34:H34"/>
    <mergeCell ref="E45:H45"/>
  </mergeCells>
  <phoneticPr fontId="0" type="noConversion"/>
  <dataValidations count="1">
    <dataValidation type="list" allowBlank="1" showInputMessage="1" showErrorMessage="1" sqref="H8">
      <formula1>"Yes,No"</formula1>
    </dataValidation>
  </dataValidations>
  <hyperlinks>
    <hyperlink ref="E28" r:id="rId12" display="http://www.hperc.org/rules/mytgen11.pdf "/>
    <hyperlink ref="E27" r:id="rId13" display="http://www.hperc.org/rules/mytgen11.pdf "/>
    <hyperlink ref="E47" r:id="rId14" display="http://www.hperc.org/rules/mytgen11.pdf "/>
    <hyperlink ref="E33" r:id="rId15" display="http://www.bmradvisors.com/budget-analysis-2011/tax-amendments.pdf"/>
    <hyperlink ref="E34" r:id="rId16"/>
  </hyperlinks>
  <printOptions horizontalCentered="1" verticalCentered="1"/>
  <pageMargins left="0.74803149606299213" right="0.74803149606299213" top="0.6692913385826772" bottom="2.204724409448819" header="0.51181102362204722" footer="2.0866141732283467"/>
  <pageSetup paperSize="9" orientation="portrait" horizontalDpi="4294967294" verticalDpi="300" r:id="rId17"/>
  <headerFooter alignWithMargins="0">
    <oddFooter>&amp;L&amp;B Confidential&amp;B&amp;C&amp;D&amp;RPage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66"/>
  <sheetViews>
    <sheetView tabSelected="1" workbookViewId="0">
      <pane xSplit="3" ySplit="3" topLeftCell="D43" activePane="bottomRight" state="frozen"/>
      <selection pane="topRight" activeCell="D1" sqref="D1"/>
      <selection pane="bottomLeft" activeCell="A4" sqref="A4"/>
      <selection pane="bottomRight" activeCell="D64" sqref="D64"/>
    </sheetView>
  </sheetViews>
  <sheetFormatPr defaultRowHeight="15" customHeight="1" x14ac:dyDescent="0.2"/>
  <cols>
    <col min="1" max="1" width="2.5703125" style="54" customWidth="1"/>
    <col min="2" max="2" width="2.7109375" style="6" customWidth="1"/>
    <col min="3" max="3" width="46.28515625" style="6" customWidth="1"/>
    <col min="4" max="24" width="10.7109375" style="6" customWidth="1"/>
    <col min="25" max="25" width="12.7109375" style="6" customWidth="1"/>
    <col min="26" max="27" width="9.5703125" style="6" bestFit="1" customWidth="1"/>
    <col min="28" max="16384" width="9.140625" style="6"/>
  </cols>
  <sheetData>
    <row r="1" spans="1:23" ht="15" customHeight="1" x14ac:dyDescent="0.2">
      <c r="C1" s="7"/>
      <c r="D1" s="21"/>
      <c r="E1" s="7"/>
      <c r="F1" s="19"/>
      <c r="O1" s="6" t="s">
        <v>24</v>
      </c>
      <c r="W1" s="6" t="s">
        <v>24</v>
      </c>
    </row>
    <row r="2" spans="1:23" ht="15" customHeight="1" thickBot="1" x14ac:dyDescent="0.25">
      <c r="A2" s="306"/>
      <c r="C2" s="8" t="s">
        <v>15</v>
      </c>
      <c r="D2" s="51" t="s">
        <v>163</v>
      </c>
      <c r="E2" s="51" t="s">
        <v>144</v>
      </c>
      <c r="F2" s="51" t="s">
        <v>145</v>
      </c>
      <c r="G2" s="51" t="s">
        <v>146</v>
      </c>
      <c r="H2" s="51" t="s">
        <v>147</v>
      </c>
      <c r="I2" s="51" t="s">
        <v>148</v>
      </c>
      <c r="J2" s="51" t="s">
        <v>149</v>
      </c>
      <c r="K2" s="51" t="s">
        <v>150</v>
      </c>
      <c r="L2" s="51" t="s">
        <v>151</v>
      </c>
      <c r="M2" s="51" t="s">
        <v>152</v>
      </c>
      <c r="N2" s="51" t="s">
        <v>153</v>
      </c>
      <c r="O2" s="51" t="s">
        <v>154</v>
      </c>
      <c r="P2" s="51" t="s">
        <v>155</v>
      </c>
      <c r="Q2" s="51" t="s">
        <v>156</v>
      </c>
      <c r="R2" s="51" t="s">
        <v>157</v>
      </c>
      <c r="S2" s="51" t="s">
        <v>158</v>
      </c>
      <c r="T2" s="51" t="s">
        <v>159</v>
      </c>
      <c r="U2" s="51" t="s">
        <v>160</v>
      </c>
      <c r="V2" s="51" t="s">
        <v>161</v>
      </c>
      <c r="W2" s="51" t="s">
        <v>162</v>
      </c>
    </row>
    <row r="3" spans="1:23" ht="15" customHeight="1" x14ac:dyDescent="0.2">
      <c r="A3" s="306"/>
      <c r="C3" s="9" t="s">
        <v>37</v>
      </c>
      <c r="D3" s="50"/>
      <c r="E3" s="22"/>
      <c r="F3" s="22"/>
      <c r="G3" s="22"/>
      <c r="H3" s="22"/>
      <c r="I3" s="22"/>
      <c r="J3" s="22"/>
      <c r="K3" s="22"/>
      <c r="L3" s="22"/>
      <c r="M3" s="22"/>
      <c r="N3" s="22"/>
      <c r="O3" s="22"/>
      <c r="P3" s="22"/>
      <c r="Q3" s="22"/>
      <c r="R3" s="22"/>
      <c r="S3" s="22"/>
      <c r="T3" s="22"/>
      <c r="U3" s="22"/>
      <c r="V3" s="22"/>
      <c r="W3" s="22"/>
    </row>
    <row r="4" spans="1:23" ht="15" customHeight="1" x14ac:dyDescent="0.2">
      <c r="A4" s="306"/>
      <c r="C4" s="46" t="s">
        <v>51</v>
      </c>
      <c r="D4" s="223">
        <f>Assumptions!$C$17/10^3</f>
        <v>19.347600000000003</v>
      </c>
      <c r="E4" s="223">
        <f>Assumptions!$C$17/10^3</f>
        <v>19.347600000000003</v>
      </c>
      <c r="F4" s="223">
        <f>Assumptions!$C$17/10^3</f>
        <v>19.347600000000003</v>
      </c>
      <c r="G4" s="223">
        <f>Assumptions!$C$17/10^3</f>
        <v>19.347600000000003</v>
      </c>
      <c r="H4" s="223">
        <f>Assumptions!$C$17/10^3</f>
        <v>19.347600000000003</v>
      </c>
      <c r="I4" s="223">
        <f>Assumptions!$C$17/10^3</f>
        <v>19.347600000000003</v>
      </c>
      <c r="J4" s="223">
        <f>Assumptions!$C$17/10^3</f>
        <v>19.347600000000003</v>
      </c>
      <c r="K4" s="223">
        <f>Assumptions!$C$17/10^3</f>
        <v>19.347600000000003</v>
      </c>
      <c r="L4" s="223">
        <f>Assumptions!$C$17/10^3</f>
        <v>19.347600000000003</v>
      </c>
      <c r="M4" s="223">
        <f>Assumptions!$C$17/10^3</f>
        <v>19.347600000000003</v>
      </c>
      <c r="N4" s="223">
        <f>Assumptions!$C$17/10^3</f>
        <v>19.347600000000003</v>
      </c>
      <c r="O4" s="223">
        <f>Assumptions!$C$17/10^3</f>
        <v>19.347600000000003</v>
      </c>
      <c r="P4" s="223">
        <f>Assumptions!$C$17/10^3</f>
        <v>19.347600000000003</v>
      </c>
      <c r="Q4" s="223">
        <f>Assumptions!$C$17/10^3</f>
        <v>19.347600000000003</v>
      </c>
      <c r="R4" s="223">
        <f>Assumptions!$C$17/10^3</f>
        <v>19.347600000000003</v>
      </c>
      <c r="S4" s="223">
        <f>Assumptions!$C$17/10^3</f>
        <v>19.347600000000003</v>
      </c>
      <c r="T4" s="223">
        <f>Assumptions!$C$17/10^3</f>
        <v>19.347600000000003</v>
      </c>
      <c r="U4" s="223">
        <f>Assumptions!$C$17/10^3</f>
        <v>19.347600000000003</v>
      </c>
      <c r="V4" s="223">
        <f>Assumptions!$C$17/10^3</f>
        <v>19.347600000000003</v>
      </c>
      <c r="W4" s="223">
        <f>Assumptions!$C$17/10^3</f>
        <v>19.347600000000003</v>
      </c>
    </row>
    <row r="5" spans="1:23" ht="15" customHeight="1" x14ac:dyDescent="0.2">
      <c r="A5" s="306"/>
      <c r="C5" s="199" t="s">
        <v>180</v>
      </c>
      <c r="D5" s="223">
        <f>Assumptions!$C$22*D4</f>
        <v>0</v>
      </c>
      <c r="E5" s="223">
        <f>Assumptions!$C$22*E4</f>
        <v>0</v>
      </c>
      <c r="F5" s="223">
        <f>Assumptions!$C$22*F4</f>
        <v>0</v>
      </c>
      <c r="G5" s="223">
        <f>Assumptions!$C$22*G4</f>
        <v>0</v>
      </c>
      <c r="H5" s="223">
        <f>Assumptions!$C$22*H4</f>
        <v>0</v>
      </c>
      <c r="I5" s="223">
        <f>Assumptions!$C$22*I4</f>
        <v>0</v>
      </c>
      <c r="J5" s="223">
        <f>Assumptions!$C$22*J4</f>
        <v>0</v>
      </c>
      <c r="K5" s="223">
        <f>Assumptions!$C$22*K4</f>
        <v>0</v>
      </c>
      <c r="L5" s="223">
        <f>Assumptions!$C$22*L4</f>
        <v>0</v>
      </c>
      <c r="M5" s="223">
        <f>Assumptions!$C$22*M4</f>
        <v>0</v>
      </c>
      <c r="N5" s="223">
        <f>Assumptions!$C$22*N4</f>
        <v>0</v>
      </c>
      <c r="O5" s="223">
        <f>Assumptions!$C$22*O4</f>
        <v>0</v>
      </c>
      <c r="P5" s="223">
        <f>Assumptions!$C$23*P4</f>
        <v>2.3217120000000002</v>
      </c>
      <c r="Q5" s="223">
        <f>Assumptions!$C$23*Q4</f>
        <v>2.3217120000000002</v>
      </c>
      <c r="R5" s="223">
        <f>Assumptions!$C$23*R4</f>
        <v>2.3217120000000002</v>
      </c>
      <c r="S5" s="223">
        <f>Assumptions!$C$23*S4</f>
        <v>2.3217120000000002</v>
      </c>
      <c r="T5" s="223">
        <f>Assumptions!$C$23*T4</f>
        <v>2.3217120000000002</v>
      </c>
      <c r="U5" s="223">
        <f>Assumptions!$C$23*U4</f>
        <v>2.3217120000000002</v>
      </c>
      <c r="V5" s="223">
        <f>Assumptions!$C$23*V4</f>
        <v>2.3217120000000002</v>
      </c>
      <c r="W5" s="223">
        <f>Assumptions!$C$23*W4</f>
        <v>2.3217120000000002</v>
      </c>
    </row>
    <row r="6" spans="1:23" ht="15" customHeight="1" x14ac:dyDescent="0.2">
      <c r="A6" s="306"/>
      <c r="C6" s="199" t="s">
        <v>199</v>
      </c>
      <c r="D6" s="223">
        <f>1%*D4</f>
        <v>0.19347600000000004</v>
      </c>
      <c r="E6" s="223">
        <f t="shared" ref="E6:W6" si="0">1%*E4</f>
        <v>0.19347600000000004</v>
      </c>
      <c r="F6" s="223">
        <f t="shared" si="0"/>
        <v>0.19347600000000004</v>
      </c>
      <c r="G6" s="223">
        <f t="shared" si="0"/>
        <v>0.19347600000000004</v>
      </c>
      <c r="H6" s="223">
        <f t="shared" si="0"/>
        <v>0.19347600000000004</v>
      </c>
      <c r="I6" s="223">
        <f t="shared" si="0"/>
        <v>0.19347600000000004</v>
      </c>
      <c r="J6" s="223">
        <f t="shared" si="0"/>
        <v>0.19347600000000004</v>
      </c>
      <c r="K6" s="223">
        <f t="shared" si="0"/>
        <v>0.19347600000000004</v>
      </c>
      <c r="L6" s="223">
        <f t="shared" si="0"/>
        <v>0.19347600000000004</v>
      </c>
      <c r="M6" s="223">
        <f t="shared" si="0"/>
        <v>0.19347600000000004</v>
      </c>
      <c r="N6" s="223">
        <f t="shared" si="0"/>
        <v>0.19347600000000004</v>
      </c>
      <c r="O6" s="223">
        <f t="shared" si="0"/>
        <v>0.19347600000000004</v>
      </c>
      <c r="P6" s="223">
        <f t="shared" si="0"/>
        <v>0.19347600000000004</v>
      </c>
      <c r="Q6" s="223">
        <f t="shared" si="0"/>
        <v>0.19347600000000004</v>
      </c>
      <c r="R6" s="223">
        <f t="shared" si="0"/>
        <v>0.19347600000000004</v>
      </c>
      <c r="S6" s="223">
        <f t="shared" si="0"/>
        <v>0.19347600000000004</v>
      </c>
      <c r="T6" s="223">
        <f t="shared" si="0"/>
        <v>0.19347600000000004</v>
      </c>
      <c r="U6" s="223">
        <f t="shared" si="0"/>
        <v>0.19347600000000004</v>
      </c>
      <c r="V6" s="223">
        <f t="shared" si="0"/>
        <v>0.19347600000000004</v>
      </c>
      <c r="W6" s="223">
        <f t="shared" si="0"/>
        <v>0.19347600000000004</v>
      </c>
    </row>
    <row r="7" spans="1:23" ht="15" customHeight="1" x14ac:dyDescent="0.2">
      <c r="A7" s="306"/>
      <c r="C7" s="46" t="s">
        <v>25</v>
      </c>
      <c r="D7" s="224">
        <f>Assumptions!$C$21</f>
        <v>2.95</v>
      </c>
      <c r="E7" s="224">
        <f>Assumptions!$C$21</f>
        <v>2.95</v>
      </c>
      <c r="F7" s="224">
        <f>Assumptions!$C$21</f>
        <v>2.95</v>
      </c>
      <c r="G7" s="224">
        <f>Assumptions!$C$21</f>
        <v>2.95</v>
      </c>
      <c r="H7" s="224">
        <f>Assumptions!$C$21</f>
        <v>2.95</v>
      </c>
      <c r="I7" s="224">
        <f>Assumptions!$C$21</f>
        <v>2.95</v>
      </c>
      <c r="J7" s="224">
        <f>Assumptions!$C$21</f>
        <v>2.95</v>
      </c>
      <c r="K7" s="224">
        <f>Assumptions!$C$21</f>
        <v>2.95</v>
      </c>
      <c r="L7" s="224">
        <f>Assumptions!$C$21</f>
        <v>2.95</v>
      </c>
      <c r="M7" s="224">
        <f>Assumptions!$C$21</f>
        <v>2.95</v>
      </c>
      <c r="N7" s="224">
        <f>Assumptions!$C$21</f>
        <v>2.95</v>
      </c>
      <c r="O7" s="224">
        <f>Assumptions!$C$21</f>
        <v>2.95</v>
      </c>
      <c r="P7" s="224">
        <f>Assumptions!$C$21</f>
        <v>2.95</v>
      </c>
      <c r="Q7" s="224">
        <f>Assumptions!$C$21</f>
        <v>2.95</v>
      </c>
      <c r="R7" s="224">
        <f>Assumptions!$C$21</f>
        <v>2.95</v>
      </c>
      <c r="S7" s="224">
        <f>Assumptions!$C$21</f>
        <v>2.95</v>
      </c>
      <c r="T7" s="224">
        <f>Assumptions!$C$21</f>
        <v>2.95</v>
      </c>
      <c r="U7" s="224">
        <f>Assumptions!$C$21</f>
        <v>2.95</v>
      </c>
      <c r="V7" s="224">
        <f>Assumptions!$C$21</f>
        <v>2.95</v>
      </c>
      <c r="W7" s="224">
        <f>Assumptions!$C$21</f>
        <v>2.95</v>
      </c>
    </row>
    <row r="8" spans="1:23" ht="15" customHeight="1" thickBot="1" x14ac:dyDescent="0.25">
      <c r="A8" s="306"/>
      <c r="C8" s="47" t="s">
        <v>12</v>
      </c>
      <c r="D8" s="225">
        <f>(D4-D5-D6)*D7</f>
        <v>56.504665800000012</v>
      </c>
      <c r="E8" s="225">
        <f t="shared" ref="E8:W8" si="1">(E4-E5-E6)*E7</f>
        <v>56.504665800000012</v>
      </c>
      <c r="F8" s="225">
        <f t="shared" si="1"/>
        <v>56.504665800000012</v>
      </c>
      <c r="G8" s="225">
        <f t="shared" si="1"/>
        <v>56.504665800000012</v>
      </c>
      <c r="H8" s="225">
        <f t="shared" si="1"/>
        <v>56.504665800000012</v>
      </c>
      <c r="I8" s="225">
        <f t="shared" si="1"/>
        <v>56.504665800000012</v>
      </c>
      <c r="J8" s="225">
        <f t="shared" si="1"/>
        <v>56.504665800000012</v>
      </c>
      <c r="K8" s="225">
        <f t="shared" si="1"/>
        <v>56.504665800000012</v>
      </c>
      <c r="L8" s="225">
        <f t="shared" si="1"/>
        <v>56.504665800000012</v>
      </c>
      <c r="M8" s="225">
        <f t="shared" si="1"/>
        <v>56.504665800000012</v>
      </c>
      <c r="N8" s="225">
        <f t="shared" si="1"/>
        <v>56.504665800000012</v>
      </c>
      <c r="O8" s="225">
        <f t="shared" si="1"/>
        <v>56.504665800000012</v>
      </c>
      <c r="P8" s="225">
        <f t="shared" si="1"/>
        <v>49.655615400000009</v>
      </c>
      <c r="Q8" s="225">
        <f t="shared" si="1"/>
        <v>49.655615400000009</v>
      </c>
      <c r="R8" s="225">
        <f t="shared" si="1"/>
        <v>49.655615400000009</v>
      </c>
      <c r="S8" s="225">
        <f t="shared" si="1"/>
        <v>49.655615400000009</v>
      </c>
      <c r="T8" s="225">
        <f t="shared" si="1"/>
        <v>49.655615400000009</v>
      </c>
      <c r="U8" s="225">
        <f t="shared" si="1"/>
        <v>49.655615400000009</v>
      </c>
      <c r="V8" s="225">
        <f t="shared" si="1"/>
        <v>49.655615400000009</v>
      </c>
      <c r="W8" s="225">
        <f t="shared" si="1"/>
        <v>49.655615400000009</v>
      </c>
    </row>
    <row r="9" spans="1:23" ht="15" customHeight="1" x14ac:dyDescent="0.2">
      <c r="A9" s="306"/>
      <c r="C9" s="25"/>
      <c r="D9" s="178"/>
      <c r="E9" s="26"/>
      <c r="F9" s="26"/>
      <c r="G9" s="26"/>
      <c r="H9" s="26"/>
      <c r="I9" s="26"/>
      <c r="J9" s="26"/>
      <c r="K9" s="26"/>
      <c r="L9" s="26"/>
      <c r="M9" s="26"/>
      <c r="N9" s="26"/>
      <c r="O9" s="26"/>
      <c r="P9" s="26"/>
      <c r="Q9" s="26"/>
      <c r="R9" s="26"/>
      <c r="S9" s="26"/>
      <c r="T9" s="26"/>
      <c r="U9" s="26"/>
      <c r="V9" s="26"/>
      <c r="W9" s="26"/>
    </row>
    <row r="10" spans="1:23" ht="15" customHeight="1" x14ac:dyDescent="0.2">
      <c r="A10" s="306"/>
      <c r="B10" s="18"/>
      <c r="C10" s="25" t="s">
        <v>38</v>
      </c>
      <c r="D10" s="27"/>
      <c r="E10" s="28"/>
      <c r="F10" s="27"/>
      <c r="G10" s="27"/>
      <c r="H10" s="27"/>
      <c r="I10" s="27"/>
      <c r="J10" s="27"/>
      <c r="K10" s="27"/>
      <c r="L10" s="27"/>
      <c r="M10" s="27"/>
      <c r="N10" s="27"/>
      <c r="O10" s="27"/>
      <c r="P10" s="27"/>
      <c r="Q10" s="27"/>
      <c r="R10" s="27"/>
      <c r="S10" s="27"/>
      <c r="T10" s="27"/>
      <c r="U10" s="27"/>
      <c r="V10" s="27"/>
      <c r="W10" s="27"/>
    </row>
    <row r="11" spans="1:23" ht="15" customHeight="1" x14ac:dyDescent="0.2">
      <c r="A11" s="306"/>
      <c r="B11" s="18"/>
      <c r="C11" s="47" t="s">
        <v>0</v>
      </c>
      <c r="D11" s="29">
        <f>Assumptions!C102</f>
        <v>9.0240299999999998</v>
      </c>
      <c r="E11" s="29">
        <f>Assumptions!D102</f>
        <v>9.4752314999999996</v>
      </c>
      <c r="F11" s="29">
        <f>Assumptions!E102</f>
        <v>9.9489930750000006</v>
      </c>
      <c r="G11" s="29">
        <f>Assumptions!F102</f>
        <v>10.446442728750002</v>
      </c>
      <c r="H11" s="29">
        <f>Assumptions!G102</f>
        <v>10.968764865187502</v>
      </c>
      <c r="I11" s="29">
        <f>Assumptions!H102</f>
        <v>11.517203108446878</v>
      </c>
      <c r="J11" s="29">
        <f>Assumptions!I102</f>
        <v>12.093063263869222</v>
      </c>
      <c r="K11" s="29">
        <f>Assumptions!J102</f>
        <v>12.697716427062684</v>
      </c>
      <c r="L11" s="29">
        <f>Assumptions!K102</f>
        <v>13.332602248415819</v>
      </c>
      <c r="M11" s="29">
        <f>Assumptions!L102</f>
        <v>13.999232360836611</v>
      </c>
      <c r="N11" s="29">
        <f>Assumptions!M102</f>
        <v>14.699193978878442</v>
      </c>
      <c r="O11" s="29">
        <f>Assumptions!N102</f>
        <v>15.434153677822366</v>
      </c>
      <c r="P11" s="29">
        <f>Assumptions!O102</f>
        <v>16.205861361713485</v>
      </c>
      <c r="Q11" s="29">
        <f>Assumptions!P102</f>
        <v>17.016154429799158</v>
      </c>
      <c r="R11" s="29">
        <f>Assumptions!Q102</f>
        <v>17.866962151289115</v>
      </c>
      <c r="S11" s="29">
        <f>Assumptions!R102</f>
        <v>18.760310258853572</v>
      </c>
      <c r="T11" s="29">
        <f>Assumptions!S102</f>
        <v>19.698325771796252</v>
      </c>
      <c r="U11" s="29">
        <f>Assumptions!T102</f>
        <v>20.683242060386064</v>
      </c>
      <c r="V11" s="29">
        <f>Assumptions!U102</f>
        <v>21.717404163405369</v>
      </c>
      <c r="W11" s="29">
        <f>Assumptions!V102</f>
        <v>22.80327437157564</v>
      </c>
    </row>
    <row r="12" spans="1:23" ht="15" customHeight="1" x14ac:dyDescent="0.2">
      <c r="A12" s="306"/>
      <c r="B12" s="30"/>
      <c r="C12" s="47" t="s">
        <v>8</v>
      </c>
      <c r="D12" s="29">
        <f>Assumptions!C91</f>
        <v>12.634965306609928</v>
      </c>
      <c r="E12" s="29">
        <f>Assumptions!D91</f>
        <v>12.634965306609928</v>
      </c>
      <c r="F12" s="29">
        <f>Assumptions!E91</f>
        <v>12.634965306609928</v>
      </c>
      <c r="G12" s="29">
        <f>Assumptions!F91</f>
        <v>12.634965306609928</v>
      </c>
      <c r="H12" s="29">
        <f>Assumptions!G91</f>
        <v>12.634965306609928</v>
      </c>
      <c r="I12" s="29">
        <f>Assumptions!H91</f>
        <v>12.634965306609928</v>
      </c>
      <c r="J12" s="29">
        <f>Assumptions!I91</f>
        <v>12.634965306609928</v>
      </c>
      <c r="K12" s="29">
        <f>Assumptions!J91</f>
        <v>12.634965306609928</v>
      </c>
      <c r="L12" s="29">
        <f>Assumptions!K91</f>
        <v>12.634965306609928</v>
      </c>
      <c r="M12" s="29">
        <f>Assumptions!L91</f>
        <v>12.634965306609928</v>
      </c>
      <c r="N12" s="29">
        <f>Assumptions!M91</f>
        <v>12.634965306609928</v>
      </c>
      <c r="O12" s="29">
        <f>Assumptions!N91</f>
        <v>12.634965306609928</v>
      </c>
      <c r="P12" s="29">
        <f>Assumptions!O91</f>
        <v>12.634965306609928</v>
      </c>
      <c r="Q12" s="29">
        <f>Assumptions!P91</f>
        <v>12.634965306609928</v>
      </c>
      <c r="R12" s="29">
        <f>Assumptions!Q91</f>
        <v>12.634965306609928</v>
      </c>
      <c r="S12" s="29">
        <f>Assumptions!R91</f>
        <v>12.634965306609928</v>
      </c>
      <c r="T12" s="29">
        <f>Assumptions!S91</f>
        <v>12.634965306609928</v>
      </c>
      <c r="U12" s="29">
        <f>Assumptions!T91</f>
        <v>5.9109508688191976</v>
      </c>
      <c r="V12" s="29">
        <f>Assumptions!U91</f>
        <v>5.5907597051148645</v>
      </c>
      <c r="W12" s="29">
        <f>Assumptions!V91</f>
        <v>5.5907597051148645</v>
      </c>
    </row>
    <row r="13" spans="1:23" ht="15" customHeight="1" x14ac:dyDescent="0.2">
      <c r="A13" s="306"/>
      <c r="B13" s="30"/>
      <c r="C13" s="47" t="s">
        <v>100</v>
      </c>
      <c r="D13" s="29">
        <f>Assumptions!G118</f>
        <v>21.709760849999999</v>
      </c>
      <c r="E13" s="29">
        <f>Assumptions!G122</f>
        <v>18.313032450000001</v>
      </c>
      <c r="F13" s="29">
        <f>Assumptions!G126</f>
        <v>15.786304050000002</v>
      </c>
      <c r="G13" s="29">
        <f>Assumptions!G130</f>
        <v>13.259575650000006</v>
      </c>
      <c r="H13" s="29">
        <f>Assumptions!G134</f>
        <v>10.732847250000008</v>
      </c>
      <c r="I13" s="29">
        <f>Assumptions!G138</f>
        <v>8.20611885000001</v>
      </c>
      <c r="J13" s="29">
        <f>Assumptions!G142</f>
        <v>5.6793904500000112</v>
      </c>
      <c r="K13" s="29">
        <f>Assumptions!G146</f>
        <v>3.1526620500000102</v>
      </c>
      <c r="L13" s="29">
        <v>0</v>
      </c>
      <c r="M13" s="29">
        <v>0</v>
      </c>
      <c r="N13" s="29">
        <v>0</v>
      </c>
      <c r="O13" s="29">
        <v>0</v>
      </c>
      <c r="P13" s="29">
        <v>0</v>
      </c>
      <c r="Q13" s="29">
        <v>0</v>
      </c>
      <c r="R13" s="29">
        <v>0</v>
      </c>
      <c r="S13" s="29">
        <v>0</v>
      </c>
      <c r="T13" s="29">
        <v>0</v>
      </c>
      <c r="U13" s="29">
        <v>0</v>
      </c>
      <c r="V13" s="29">
        <v>0</v>
      </c>
      <c r="W13" s="29">
        <v>0</v>
      </c>
    </row>
    <row r="14" spans="1:23" ht="15" customHeight="1" x14ac:dyDescent="0.2">
      <c r="A14" s="306"/>
      <c r="B14" s="30"/>
      <c r="C14" s="47" t="s">
        <v>75</v>
      </c>
      <c r="D14" s="29">
        <f>Assumptions!C107*Assumptions!$C$31</f>
        <v>1.220333616</v>
      </c>
      <c r="E14" s="29">
        <f>Assumptions!D107*Assumptions!$C$31</f>
        <v>1.2248456310000002</v>
      </c>
      <c r="F14" s="29">
        <f>Assumptions!E107*Assumptions!$C$31</f>
        <v>1.2295832467500003</v>
      </c>
      <c r="G14" s="29">
        <f>Assumptions!F107*Assumptions!$C$31</f>
        <v>1.2345577432875001</v>
      </c>
      <c r="H14" s="29">
        <f>Assumptions!G107*Assumptions!$C$31</f>
        <v>1.2397809646518752</v>
      </c>
      <c r="I14" s="29">
        <f>Assumptions!H107*Assumptions!$C$31</f>
        <v>1.245265347084469</v>
      </c>
      <c r="J14" s="29">
        <f>Assumptions!I107*Assumptions!$C$31</f>
        <v>1.2510239486386925</v>
      </c>
      <c r="K14" s="29">
        <f>Assumptions!J107*Assumptions!$C$31</f>
        <v>1.257070480270627</v>
      </c>
      <c r="L14" s="29">
        <f>Assumptions!K107*Assumptions!$C$31</f>
        <v>1.2634193384841583</v>
      </c>
      <c r="M14" s="29">
        <f>Assumptions!L107*Assumptions!$C$31</f>
        <v>1.2700856396083664</v>
      </c>
      <c r="N14" s="29">
        <f>Assumptions!M107*Assumptions!$C$31</f>
        <v>1.2770852557887846</v>
      </c>
      <c r="O14" s="29">
        <f>Assumptions!N107*Assumptions!$C$31</f>
        <v>1.2844348527782237</v>
      </c>
      <c r="P14" s="29">
        <f>Assumptions!O107*Assumptions!$C$31</f>
        <v>1.1551709216171351</v>
      </c>
      <c r="Q14" s="29">
        <f>Assumptions!P107*Assumptions!$C$31</f>
        <v>1.1632738522979917</v>
      </c>
      <c r="R14" s="29">
        <f>Assumptions!Q107*Assumptions!$C$31</f>
        <v>1.1717819295128915</v>
      </c>
      <c r="S14" s="29">
        <f>Assumptions!R107*Assumptions!$C$31</f>
        <v>1.1807154105885358</v>
      </c>
      <c r="T14" s="29">
        <f>Assumptions!S107*Assumptions!$C$31</f>
        <v>1.1900955657179628</v>
      </c>
      <c r="U14" s="29">
        <f>Assumptions!T107*Assumptions!$C$31</f>
        <v>1.1999447286038607</v>
      </c>
      <c r="V14" s="29">
        <f>Assumptions!U107*Assumptions!$C$31</f>
        <v>1.2102863496340539</v>
      </c>
      <c r="W14" s="29">
        <f>Assumptions!V107*Assumptions!$C$31</f>
        <v>1.2211450517157565</v>
      </c>
    </row>
    <row r="15" spans="1:23" ht="15" customHeight="1" thickBot="1" x14ac:dyDescent="0.25">
      <c r="A15" s="306"/>
      <c r="B15" s="31"/>
      <c r="C15" s="47" t="s">
        <v>10</v>
      </c>
      <c r="D15" s="24">
        <f>SUM(D11:D14)</f>
        <v>44.589089772609924</v>
      </c>
      <c r="E15" s="24">
        <f t="shared" ref="E15:W15" si="2">SUM(E11:E14)</f>
        <v>41.64807488760993</v>
      </c>
      <c r="F15" s="24">
        <f t="shared" si="2"/>
        <v>39.599845678359934</v>
      </c>
      <c r="G15" s="24">
        <f t="shared" si="2"/>
        <v>37.575541428647433</v>
      </c>
      <c r="H15" s="24">
        <f t="shared" si="2"/>
        <v>35.576358386449314</v>
      </c>
      <c r="I15" s="24">
        <f t="shared" si="2"/>
        <v>33.603552612141286</v>
      </c>
      <c r="J15" s="24">
        <f t="shared" si="2"/>
        <v>31.658442969117853</v>
      </c>
      <c r="K15" s="24">
        <f t="shared" si="2"/>
        <v>29.74241426394325</v>
      </c>
      <c r="L15" s="24">
        <f t="shared" si="2"/>
        <v>27.230986893509904</v>
      </c>
      <c r="M15" s="24">
        <f t="shared" si="2"/>
        <v>27.904283307054907</v>
      </c>
      <c r="N15" s="24">
        <f t="shared" si="2"/>
        <v>28.611244541277152</v>
      </c>
      <c r="O15" s="24">
        <f t="shared" si="2"/>
        <v>29.353553837210516</v>
      </c>
      <c r="P15" s="24">
        <f t="shared" si="2"/>
        <v>29.995997589940547</v>
      </c>
      <c r="Q15" s="24">
        <f t="shared" si="2"/>
        <v>30.814393588707077</v>
      </c>
      <c r="R15" s="24">
        <f t="shared" si="2"/>
        <v>31.673709387411936</v>
      </c>
      <c r="S15" s="24">
        <f t="shared" si="2"/>
        <v>32.575990976052033</v>
      </c>
      <c r="T15" s="24">
        <f t="shared" si="2"/>
        <v>33.523386644124137</v>
      </c>
      <c r="U15" s="24">
        <f t="shared" si="2"/>
        <v>27.794137657809124</v>
      </c>
      <c r="V15" s="24">
        <f t="shared" si="2"/>
        <v>28.518450218154285</v>
      </c>
      <c r="W15" s="24">
        <f t="shared" si="2"/>
        <v>29.615179128406258</v>
      </c>
    </row>
    <row r="16" spans="1:23" ht="15" customHeight="1" x14ac:dyDescent="0.2">
      <c r="A16" s="306"/>
      <c r="B16" s="31"/>
      <c r="C16" s="25"/>
      <c r="D16" s="26"/>
      <c r="E16" s="26"/>
      <c r="F16" s="26"/>
      <c r="G16" s="26"/>
      <c r="H16" s="26"/>
      <c r="I16" s="26"/>
      <c r="J16" s="26"/>
      <c r="K16" s="26"/>
      <c r="L16" s="26"/>
      <c r="M16" s="26"/>
      <c r="N16" s="26"/>
      <c r="O16" s="26"/>
      <c r="P16" s="26"/>
      <c r="Q16" s="26"/>
      <c r="R16" s="26"/>
      <c r="S16" s="26"/>
      <c r="T16" s="26"/>
      <c r="U16" s="26"/>
      <c r="V16" s="26"/>
      <c r="W16" s="26"/>
    </row>
    <row r="17" spans="1:25" ht="15" customHeight="1" x14ac:dyDescent="0.2">
      <c r="A17" s="306"/>
      <c r="C17" s="25" t="s">
        <v>5</v>
      </c>
      <c r="D17" s="29">
        <f t="shared" ref="D17:W17" si="3">D8-D15</f>
        <v>11.915576027390088</v>
      </c>
      <c r="E17" s="29">
        <f t="shared" si="3"/>
        <v>14.856590912390082</v>
      </c>
      <c r="F17" s="29">
        <f t="shared" si="3"/>
        <v>16.904820121640078</v>
      </c>
      <c r="G17" s="29">
        <f t="shared" si="3"/>
        <v>18.929124371352579</v>
      </c>
      <c r="H17" s="29">
        <f t="shared" si="3"/>
        <v>20.928307413550698</v>
      </c>
      <c r="I17" s="29">
        <f t="shared" si="3"/>
        <v>22.901113187858726</v>
      </c>
      <c r="J17" s="29">
        <f t="shared" si="3"/>
        <v>24.846222830882159</v>
      </c>
      <c r="K17" s="29">
        <f t="shared" si="3"/>
        <v>26.762251536056763</v>
      </c>
      <c r="L17" s="29">
        <f t="shared" si="3"/>
        <v>29.273678906490108</v>
      </c>
      <c r="M17" s="29">
        <f t="shared" si="3"/>
        <v>28.600382492945105</v>
      </c>
      <c r="N17" s="29">
        <f t="shared" si="3"/>
        <v>27.89342125872286</v>
      </c>
      <c r="O17" s="29">
        <f t="shared" si="3"/>
        <v>27.151111962789496</v>
      </c>
      <c r="P17" s="29">
        <f t="shared" si="3"/>
        <v>19.659617810059462</v>
      </c>
      <c r="Q17" s="29">
        <f t="shared" si="3"/>
        <v>18.841221811292932</v>
      </c>
      <c r="R17" s="29">
        <f t="shared" si="3"/>
        <v>17.981906012588073</v>
      </c>
      <c r="S17" s="29">
        <f t="shared" si="3"/>
        <v>17.079624423947976</v>
      </c>
      <c r="T17" s="29">
        <f t="shared" si="3"/>
        <v>16.132228755875872</v>
      </c>
      <c r="U17" s="29">
        <f t="shared" si="3"/>
        <v>21.861477742190885</v>
      </c>
      <c r="V17" s="29">
        <f t="shared" si="3"/>
        <v>21.137165181845724</v>
      </c>
      <c r="W17" s="29">
        <f t="shared" si="3"/>
        <v>20.040436271593752</v>
      </c>
      <c r="Y17" s="7"/>
    </row>
    <row r="18" spans="1:25" ht="15" customHeight="1" x14ac:dyDescent="0.2">
      <c r="A18" s="306"/>
      <c r="C18" s="27" t="s">
        <v>14</v>
      </c>
      <c r="D18" s="29">
        <f>Projections!D43</f>
        <v>2.3831152054780178</v>
      </c>
      <c r="E18" s="29">
        <f>Projections!E43</f>
        <v>2.9713181824780168</v>
      </c>
      <c r="F18" s="29">
        <f>Projections!F43</f>
        <v>3.3809640243280157</v>
      </c>
      <c r="G18" s="29">
        <f>Projections!G43</f>
        <v>3.7858248742705158</v>
      </c>
      <c r="H18" s="29">
        <f>Projections!H43</f>
        <v>4.1856614827101399</v>
      </c>
      <c r="I18" s="29">
        <f>Projections!I43</f>
        <v>4.5802226375717456</v>
      </c>
      <c r="J18" s="29">
        <f>Projections!J43</f>
        <v>4.9692445661764317</v>
      </c>
      <c r="K18" s="29">
        <f>Projections!K43</f>
        <v>5.3524503072113525</v>
      </c>
      <c r="L18" s="29">
        <f>Projections!L43</f>
        <v>5.8547357812980216</v>
      </c>
      <c r="M18" s="29">
        <f>Projections!M43</f>
        <v>5.7200764985890213</v>
      </c>
      <c r="N18" s="29">
        <f>Projections!N43</f>
        <v>5.5786842517445727</v>
      </c>
      <c r="O18" s="29">
        <f>Projections!O43</f>
        <v>5.4302223925578996</v>
      </c>
      <c r="P18" s="29">
        <f>Projections!P43</f>
        <v>3.9319235620118924</v>
      </c>
      <c r="Q18" s="29">
        <f>Projections!Q43</f>
        <v>3.7682443622585868</v>
      </c>
      <c r="R18" s="29">
        <f>Projections!R43</f>
        <v>3.5963812025176147</v>
      </c>
      <c r="S18" s="29">
        <f>Projections!S43</f>
        <v>3.4159248847895953</v>
      </c>
      <c r="T18" s="29">
        <f>Projections!T43</f>
        <v>6.7515186289612164</v>
      </c>
      <c r="U18" s="29">
        <f>Projections!U43</f>
        <v>9.0107644628422232</v>
      </c>
      <c r="V18" s="29">
        <f>Projections!V43</f>
        <v>8.6718752295743631</v>
      </c>
      <c r="W18" s="29">
        <f>Projections!W43</f>
        <v>8.3160415346431122</v>
      </c>
      <c r="Y18" s="7"/>
    </row>
    <row r="19" spans="1:25" ht="15" customHeight="1" thickBot="1" x14ac:dyDescent="0.25">
      <c r="A19" s="306"/>
      <c r="C19" s="32" t="s">
        <v>3</v>
      </c>
      <c r="D19" s="33">
        <f t="shared" ref="D19:W19" si="4">D17-D18</f>
        <v>9.5324608219120712</v>
      </c>
      <c r="E19" s="34">
        <f t="shared" si="4"/>
        <v>11.885272729912066</v>
      </c>
      <c r="F19" s="33">
        <f t="shared" si="4"/>
        <v>13.523856097312063</v>
      </c>
      <c r="G19" s="33">
        <f t="shared" si="4"/>
        <v>15.143299497082063</v>
      </c>
      <c r="H19" s="33">
        <f t="shared" si="4"/>
        <v>16.74264593084056</v>
      </c>
      <c r="I19" s="33">
        <f t="shared" si="4"/>
        <v>18.320890550286983</v>
      </c>
      <c r="J19" s="33">
        <f t="shared" si="4"/>
        <v>19.876978264705727</v>
      </c>
      <c r="K19" s="33">
        <f t="shared" si="4"/>
        <v>21.40980122884541</v>
      </c>
      <c r="L19" s="33">
        <f t="shared" si="4"/>
        <v>23.418943125192087</v>
      </c>
      <c r="M19" s="33">
        <f t="shared" si="4"/>
        <v>22.880305994356085</v>
      </c>
      <c r="N19" s="33">
        <f t="shared" si="4"/>
        <v>22.314737006978287</v>
      </c>
      <c r="O19" s="33">
        <f t="shared" si="4"/>
        <v>21.720889570231598</v>
      </c>
      <c r="P19" s="33">
        <f t="shared" si="4"/>
        <v>15.72769424804757</v>
      </c>
      <c r="Q19" s="33">
        <f t="shared" si="4"/>
        <v>15.072977449034346</v>
      </c>
      <c r="R19" s="33">
        <f t="shared" si="4"/>
        <v>14.385524810070459</v>
      </c>
      <c r="S19" s="33">
        <f t="shared" si="4"/>
        <v>13.663699539158381</v>
      </c>
      <c r="T19" s="33">
        <f t="shared" si="4"/>
        <v>9.3807101269146553</v>
      </c>
      <c r="U19" s="33">
        <f t="shared" si="4"/>
        <v>12.850713279348662</v>
      </c>
      <c r="V19" s="33">
        <f t="shared" si="4"/>
        <v>12.465289952271361</v>
      </c>
      <c r="W19" s="33">
        <f t="shared" si="4"/>
        <v>11.724394736950639</v>
      </c>
      <c r="Y19" s="7"/>
    </row>
    <row r="20" spans="1:25" ht="15" customHeight="1" x14ac:dyDescent="0.2">
      <c r="A20" s="306"/>
      <c r="C20" s="35"/>
      <c r="D20" s="36"/>
      <c r="E20" s="37"/>
      <c r="F20" s="36"/>
      <c r="G20" s="36"/>
      <c r="H20" s="36"/>
      <c r="I20" s="36"/>
      <c r="J20" s="36"/>
      <c r="K20" s="36"/>
      <c r="L20" s="36"/>
      <c r="M20" s="36"/>
      <c r="N20" s="36"/>
      <c r="O20" s="36"/>
      <c r="P20" s="36"/>
      <c r="Q20" s="36"/>
      <c r="R20" s="36"/>
      <c r="S20" s="36"/>
      <c r="T20" s="36"/>
      <c r="U20" s="36"/>
      <c r="V20" s="36"/>
      <c r="W20" s="38"/>
    </row>
    <row r="21" spans="1:25" ht="15" customHeight="1" x14ac:dyDescent="0.2">
      <c r="D21" s="39"/>
      <c r="E21" s="39"/>
    </row>
    <row r="22" spans="1:25" ht="15" customHeight="1" x14ac:dyDescent="0.2">
      <c r="D22" s="39"/>
      <c r="E22" s="39"/>
    </row>
    <row r="23" spans="1:25" ht="15" customHeight="1" x14ac:dyDescent="0.2">
      <c r="A23" s="306" t="s">
        <v>29</v>
      </c>
      <c r="B23"/>
      <c r="C23" s="16"/>
      <c r="D23" s="2"/>
      <c r="E23" s="1"/>
      <c r="F23" s="1"/>
      <c r="G23" s="1"/>
      <c r="H23" s="1"/>
      <c r="I23" s="1"/>
      <c r="J23" s="1"/>
      <c r="K23" s="1"/>
      <c r="L23" s="1"/>
      <c r="M23" s="1"/>
      <c r="N23" s="1"/>
      <c r="O23" s="1"/>
      <c r="P23" s="4"/>
      <c r="Q23" s="1"/>
      <c r="R23" s="1"/>
      <c r="S23" s="1"/>
      <c r="T23" s="1"/>
      <c r="U23" s="1"/>
      <c r="V23" s="1"/>
      <c r="W23" s="1"/>
    </row>
    <row r="24" spans="1:25" s="185" customFormat="1" ht="15" customHeight="1" x14ac:dyDescent="0.2">
      <c r="A24" s="306"/>
      <c r="B24" s="182"/>
      <c r="C24" s="183"/>
      <c r="D24" s="184">
        <v>1</v>
      </c>
      <c r="E24" s="184">
        <v>2</v>
      </c>
      <c r="F24" s="184">
        <v>3</v>
      </c>
      <c r="G24" s="184">
        <v>4</v>
      </c>
      <c r="H24" s="184">
        <v>5</v>
      </c>
      <c r="I24" s="184">
        <v>6</v>
      </c>
      <c r="J24" s="184">
        <v>7</v>
      </c>
      <c r="K24" s="184">
        <v>8</v>
      </c>
      <c r="L24" s="184">
        <v>9</v>
      </c>
      <c r="M24" s="184">
        <v>10</v>
      </c>
      <c r="N24" s="184">
        <v>11</v>
      </c>
      <c r="O24" s="184">
        <v>12</v>
      </c>
      <c r="P24" s="184">
        <v>13</v>
      </c>
      <c r="Q24" s="184">
        <v>14</v>
      </c>
      <c r="R24" s="184">
        <v>15</v>
      </c>
      <c r="S24" s="184">
        <v>16</v>
      </c>
      <c r="T24" s="184">
        <v>17</v>
      </c>
      <c r="U24" s="184">
        <v>18</v>
      </c>
      <c r="V24" s="184">
        <v>19</v>
      </c>
      <c r="W24" s="184">
        <v>20</v>
      </c>
    </row>
    <row r="25" spans="1:25" ht="15" customHeight="1" thickBot="1" x14ac:dyDescent="0.25">
      <c r="A25" s="306"/>
      <c r="B25"/>
      <c r="C25"/>
      <c r="D25" s="51" t="str">
        <f>D2</f>
        <v>Year 1</v>
      </c>
      <c r="E25" s="51" t="str">
        <f>Projections!E2</f>
        <v>Year 2</v>
      </c>
      <c r="F25" s="51" t="str">
        <f>Projections!F2</f>
        <v>Year 3</v>
      </c>
      <c r="G25" s="51" t="str">
        <f>Projections!G2</f>
        <v>Year 4</v>
      </c>
      <c r="H25" s="51" t="str">
        <f>Projections!H2</f>
        <v>Year 5</v>
      </c>
      <c r="I25" s="51" t="str">
        <f>Projections!I2</f>
        <v>Year 6</v>
      </c>
      <c r="J25" s="51" t="str">
        <f>Projections!J2</f>
        <v>Year 7</v>
      </c>
      <c r="K25" s="51" t="str">
        <f>Projections!K2</f>
        <v>Year 8</v>
      </c>
      <c r="L25" s="51" t="str">
        <f>Projections!L2</f>
        <v>Year 9</v>
      </c>
      <c r="M25" s="51" t="str">
        <f>Projections!M2</f>
        <v>Year 10</v>
      </c>
      <c r="N25" s="51" t="str">
        <f>Projections!N2</f>
        <v>Year 11</v>
      </c>
      <c r="O25" s="51" t="str">
        <f>Projections!O2</f>
        <v>Year 12</v>
      </c>
      <c r="P25" s="51" t="str">
        <f>Projections!P2</f>
        <v>Year 13</v>
      </c>
      <c r="Q25" s="51" t="str">
        <f>Projections!Q2</f>
        <v>Year 14</v>
      </c>
      <c r="R25" s="51" t="str">
        <f>Projections!R2</f>
        <v>Year 15</v>
      </c>
      <c r="S25" s="51" t="str">
        <f>Projections!S2</f>
        <v>Year 16</v>
      </c>
      <c r="T25" s="51" t="str">
        <f>Projections!T2</f>
        <v>Year 17</v>
      </c>
      <c r="U25" s="51" t="str">
        <f>Projections!U2</f>
        <v>Year 18</v>
      </c>
      <c r="V25" s="51" t="str">
        <f>Projections!V2</f>
        <v>Year 19</v>
      </c>
      <c r="W25" s="51" t="str">
        <f>Projections!W2</f>
        <v>Year 20</v>
      </c>
    </row>
    <row r="26" spans="1:25" ht="15" customHeight="1" x14ac:dyDescent="0.2">
      <c r="A26" s="306"/>
      <c r="B26"/>
      <c r="C26" s="10" t="s">
        <v>2</v>
      </c>
      <c r="D26" s="14">
        <f>Projections!D17</f>
        <v>11.915576027390088</v>
      </c>
      <c r="E26" s="14">
        <f>Projections!E17</f>
        <v>14.856590912390082</v>
      </c>
      <c r="F26" s="14">
        <f>Projections!F17</f>
        <v>16.904820121640078</v>
      </c>
      <c r="G26" s="14">
        <f>Projections!G17</f>
        <v>18.929124371352579</v>
      </c>
      <c r="H26" s="14">
        <f>Projections!H17</f>
        <v>20.928307413550698</v>
      </c>
      <c r="I26" s="14">
        <f>Projections!I17</f>
        <v>22.901113187858726</v>
      </c>
      <c r="J26" s="14">
        <f>Projections!J17</f>
        <v>24.846222830882159</v>
      </c>
      <c r="K26" s="14">
        <f>Projections!K17</f>
        <v>26.762251536056763</v>
      </c>
      <c r="L26" s="14">
        <f>Projections!L17</f>
        <v>29.273678906490108</v>
      </c>
      <c r="M26" s="14">
        <f>Projections!M17</f>
        <v>28.600382492945105</v>
      </c>
      <c r="N26" s="14">
        <f>Projections!N17</f>
        <v>27.89342125872286</v>
      </c>
      <c r="O26" s="14">
        <f>Projections!O17</f>
        <v>27.151111962789496</v>
      </c>
      <c r="P26" s="14">
        <f>Projections!P17</f>
        <v>19.659617810059462</v>
      </c>
      <c r="Q26" s="14">
        <f>Projections!Q17</f>
        <v>18.841221811292932</v>
      </c>
      <c r="R26" s="14">
        <f>Projections!R17</f>
        <v>17.981906012588073</v>
      </c>
      <c r="S26" s="14">
        <f>Projections!S17</f>
        <v>17.079624423947976</v>
      </c>
      <c r="T26" s="14">
        <f>Projections!T17</f>
        <v>16.132228755875872</v>
      </c>
      <c r="U26" s="14">
        <f>Projections!U17</f>
        <v>21.861477742190885</v>
      </c>
      <c r="V26" s="14">
        <f>Projections!V17</f>
        <v>21.137165181845724</v>
      </c>
      <c r="W26" s="14">
        <f>Projections!W17</f>
        <v>20.040436271593752</v>
      </c>
    </row>
    <row r="27" spans="1:25" ht="15" customHeight="1" x14ac:dyDescent="0.2">
      <c r="A27" s="306"/>
      <c r="B27"/>
      <c r="C27" s="3" t="s">
        <v>4</v>
      </c>
      <c r="D27" s="11">
        <f>Projections!D12</f>
        <v>12.634965306609928</v>
      </c>
      <c r="E27" s="11">
        <f>Projections!E12</f>
        <v>12.634965306609928</v>
      </c>
      <c r="F27" s="11">
        <f>Projections!F12</f>
        <v>12.634965306609928</v>
      </c>
      <c r="G27" s="11">
        <f>Projections!G12</f>
        <v>12.634965306609928</v>
      </c>
      <c r="H27" s="11">
        <f>Projections!H12</f>
        <v>12.634965306609928</v>
      </c>
      <c r="I27" s="11">
        <f>Projections!I12</f>
        <v>12.634965306609928</v>
      </c>
      <c r="J27" s="11">
        <f>Projections!J12</f>
        <v>12.634965306609928</v>
      </c>
      <c r="K27" s="11">
        <f>Projections!K12</f>
        <v>12.634965306609928</v>
      </c>
      <c r="L27" s="11">
        <f>Projections!L12</f>
        <v>12.634965306609928</v>
      </c>
      <c r="M27" s="11">
        <f>Projections!M12</f>
        <v>12.634965306609928</v>
      </c>
      <c r="N27" s="11">
        <f>Projections!N12</f>
        <v>12.634965306609928</v>
      </c>
      <c r="O27" s="11">
        <f>Projections!O12</f>
        <v>12.634965306609928</v>
      </c>
      <c r="P27" s="11">
        <f>Projections!P12</f>
        <v>12.634965306609928</v>
      </c>
      <c r="Q27" s="11">
        <f>Projections!Q12</f>
        <v>12.634965306609928</v>
      </c>
      <c r="R27" s="11">
        <f>Projections!R12</f>
        <v>12.634965306609928</v>
      </c>
      <c r="S27" s="11">
        <f>Projections!S12</f>
        <v>12.634965306609928</v>
      </c>
      <c r="T27" s="11">
        <f>Projections!T12</f>
        <v>12.634965306609928</v>
      </c>
      <c r="U27" s="11">
        <f>Projections!U12</f>
        <v>5.9109508688191976</v>
      </c>
      <c r="V27" s="11">
        <f>Projections!V12</f>
        <v>5.5907597051148645</v>
      </c>
      <c r="W27" s="11">
        <f>Projections!W12</f>
        <v>5.5907597051148645</v>
      </c>
    </row>
    <row r="28" spans="1:25" ht="15" customHeight="1" x14ac:dyDescent="0.2">
      <c r="A28" s="306"/>
      <c r="B28"/>
      <c r="C28" s="3" t="s">
        <v>26</v>
      </c>
      <c r="D28" s="11">
        <f t="shared" ref="D28:W28" si="5">+D26+D27</f>
        <v>24.550541334000016</v>
      </c>
      <c r="E28" s="11">
        <f t="shared" si="5"/>
        <v>27.49155621900001</v>
      </c>
      <c r="F28" s="11">
        <f t="shared" si="5"/>
        <v>29.539785428250006</v>
      </c>
      <c r="G28" s="11">
        <f t="shared" si="5"/>
        <v>31.564089677962507</v>
      </c>
      <c r="H28" s="11">
        <f t="shared" si="5"/>
        <v>33.563272720160626</v>
      </c>
      <c r="I28" s="11">
        <f t="shared" si="5"/>
        <v>35.536078494468654</v>
      </c>
      <c r="J28" s="11">
        <f t="shared" si="5"/>
        <v>37.481188137492083</v>
      </c>
      <c r="K28" s="11">
        <f t="shared" si="5"/>
        <v>39.397216842666694</v>
      </c>
      <c r="L28" s="11">
        <f t="shared" si="5"/>
        <v>41.908644213100033</v>
      </c>
      <c r="M28" s="11">
        <f t="shared" si="5"/>
        <v>41.235347799555029</v>
      </c>
      <c r="N28" s="11">
        <f t="shared" si="5"/>
        <v>40.528386565332788</v>
      </c>
      <c r="O28" s="11">
        <f t="shared" si="5"/>
        <v>39.786077269399428</v>
      </c>
      <c r="P28" s="11">
        <f t="shared" si="5"/>
        <v>32.294583116669386</v>
      </c>
      <c r="Q28" s="11">
        <f t="shared" si="5"/>
        <v>31.47618711790286</v>
      </c>
      <c r="R28" s="11">
        <f t="shared" si="5"/>
        <v>30.616871319198001</v>
      </c>
      <c r="S28" s="11">
        <f t="shared" si="5"/>
        <v>29.714589730557904</v>
      </c>
      <c r="T28" s="11">
        <f t="shared" si="5"/>
        <v>28.7671940624858</v>
      </c>
      <c r="U28" s="11">
        <f t="shared" si="5"/>
        <v>27.772428611010085</v>
      </c>
      <c r="V28" s="11">
        <f t="shared" si="5"/>
        <v>26.727924886960587</v>
      </c>
      <c r="W28" s="11">
        <f t="shared" si="5"/>
        <v>25.631195976708618</v>
      </c>
    </row>
    <row r="29" spans="1:25" ht="15" customHeight="1" x14ac:dyDescent="0.2">
      <c r="A29" s="306"/>
      <c r="B29"/>
      <c r="C29" s="3" t="s">
        <v>19</v>
      </c>
      <c r="D29" s="11">
        <f>+D28</f>
        <v>24.550541334000016</v>
      </c>
      <c r="E29" s="11">
        <f t="shared" ref="E29:W29" si="6">+E28</f>
        <v>27.49155621900001</v>
      </c>
      <c r="F29" s="11">
        <f t="shared" si="6"/>
        <v>29.539785428250006</v>
      </c>
      <c r="G29" s="11">
        <f t="shared" si="6"/>
        <v>31.564089677962507</v>
      </c>
      <c r="H29" s="11">
        <f t="shared" si="6"/>
        <v>33.563272720160626</v>
      </c>
      <c r="I29" s="11">
        <f t="shared" si="6"/>
        <v>35.536078494468654</v>
      </c>
      <c r="J29" s="11">
        <f t="shared" si="6"/>
        <v>37.481188137492083</v>
      </c>
      <c r="K29" s="11">
        <f t="shared" si="6"/>
        <v>39.397216842666694</v>
      </c>
      <c r="L29" s="11">
        <f t="shared" si="6"/>
        <v>41.908644213100033</v>
      </c>
      <c r="M29" s="11">
        <f t="shared" si="6"/>
        <v>41.235347799555029</v>
      </c>
      <c r="N29" s="11">
        <f t="shared" si="6"/>
        <v>40.528386565332788</v>
      </c>
      <c r="O29" s="11">
        <f t="shared" si="6"/>
        <v>39.786077269399428</v>
      </c>
      <c r="P29" s="11">
        <f t="shared" si="6"/>
        <v>32.294583116669386</v>
      </c>
      <c r="Q29" s="11">
        <f t="shared" si="6"/>
        <v>31.47618711790286</v>
      </c>
      <c r="R29" s="11">
        <f t="shared" si="6"/>
        <v>30.616871319198001</v>
      </c>
      <c r="S29" s="11">
        <f t="shared" si="6"/>
        <v>29.714589730557904</v>
      </c>
      <c r="T29" s="11">
        <f t="shared" si="6"/>
        <v>28.7671940624858</v>
      </c>
      <c r="U29" s="11">
        <f t="shared" si="6"/>
        <v>27.772428611010085</v>
      </c>
      <c r="V29" s="11">
        <f t="shared" si="6"/>
        <v>26.727924886960587</v>
      </c>
      <c r="W29" s="11">
        <f t="shared" si="6"/>
        <v>25.631195976708618</v>
      </c>
    </row>
    <row r="30" spans="1:25" ht="15" customHeight="1" x14ac:dyDescent="0.2">
      <c r="A30" s="306"/>
      <c r="B30"/>
      <c r="C30" s="3" t="s">
        <v>20</v>
      </c>
      <c r="D30" s="11">
        <v>0</v>
      </c>
      <c r="E30" s="11">
        <f t="shared" ref="E30:W30" si="7">MIN(D31,0)</f>
        <v>0</v>
      </c>
      <c r="F30" s="11">
        <f t="shared" si="7"/>
        <v>0</v>
      </c>
      <c r="G30" s="11">
        <f t="shared" si="7"/>
        <v>0</v>
      </c>
      <c r="H30" s="11">
        <f t="shared" si="7"/>
        <v>0</v>
      </c>
      <c r="I30" s="11">
        <f t="shared" si="7"/>
        <v>0</v>
      </c>
      <c r="J30" s="11">
        <f t="shared" si="7"/>
        <v>0</v>
      </c>
      <c r="K30" s="11">
        <f t="shared" si="7"/>
        <v>0</v>
      </c>
      <c r="L30" s="11">
        <f t="shared" si="7"/>
        <v>0</v>
      </c>
      <c r="M30" s="11">
        <f t="shared" si="7"/>
        <v>0</v>
      </c>
      <c r="N30" s="11">
        <f t="shared" si="7"/>
        <v>0</v>
      </c>
      <c r="O30" s="11">
        <f t="shared" si="7"/>
        <v>0</v>
      </c>
      <c r="P30" s="11">
        <f t="shared" si="7"/>
        <v>0</v>
      </c>
      <c r="Q30" s="11">
        <f t="shared" si="7"/>
        <v>0</v>
      </c>
      <c r="R30" s="11">
        <f t="shared" si="7"/>
        <v>0</v>
      </c>
      <c r="S30" s="11">
        <f t="shared" si="7"/>
        <v>0</v>
      </c>
      <c r="T30" s="11">
        <f t="shared" si="7"/>
        <v>0</v>
      </c>
      <c r="U30" s="11">
        <f t="shared" si="7"/>
        <v>0</v>
      </c>
      <c r="V30" s="11">
        <f t="shared" si="7"/>
        <v>0</v>
      </c>
      <c r="W30" s="11">
        <f t="shared" si="7"/>
        <v>0</v>
      </c>
    </row>
    <row r="31" spans="1:25" ht="31.5" customHeight="1" x14ac:dyDescent="0.2">
      <c r="A31" s="306"/>
      <c r="B31" s="115"/>
      <c r="C31" s="116" t="s">
        <v>27</v>
      </c>
      <c r="D31" s="23">
        <f t="shared" ref="D31:W31" si="8">D29+D30</f>
        <v>24.550541334000016</v>
      </c>
      <c r="E31" s="23">
        <f t="shared" si="8"/>
        <v>27.49155621900001</v>
      </c>
      <c r="F31" s="23">
        <f t="shared" si="8"/>
        <v>29.539785428250006</v>
      </c>
      <c r="G31" s="23">
        <f t="shared" si="8"/>
        <v>31.564089677962507</v>
      </c>
      <c r="H31" s="23">
        <f t="shared" si="8"/>
        <v>33.563272720160626</v>
      </c>
      <c r="I31" s="23">
        <f t="shared" si="8"/>
        <v>35.536078494468654</v>
      </c>
      <c r="J31" s="23">
        <f t="shared" si="8"/>
        <v>37.481188137492083</v>
      </c>
      <c r="K31" s="23">
        <f t="shared" si="8"/>
        <v>39.397216842666694</v>
      </c>
      <c r="L31" s="23">
        <f t="shared" si="8"/>
        <v>41.908644213100033</v>
      </c>
      <c r="M31" s="23">
        <f t="shared" si="8"/>
        <v>41.235347799555029</v>
      </c>
      <c r="N31" s="23">
        <f t="shared" si="8"/>
        <v>40.528386565332788</v>
      </c>
      <c r="O31" s="23">
        <f t="shared" si="8"/>
        <v>39.786077269399428</v>
      </c>
      <c r="P31" s="23">
        <f t="shared" si="8"/>
        <v>32.294583116669386</v>
      </c>
      <c r="Q31" s="23">
        <f t="shared" si="8"/>
        <v>31.47618711790286</v>
      </c>
      <c r="R31" s="23">
        <f t="shared" si="8"/>
        <v>30.616871319198001</v>
      </c>
      <c r="S31" s="23">
        <f t="shared" si="8"/>
        <v>29.714589730557904</v>
      </c>
      <c r="T31" s="23">
        <f t="shared" si="8"/>
        <v>28.7671940624858</v>
      </c>
      <c r="U31" s="23">
        <f t="shared" si="8"/>
        <v>27.772428611010085</v>
      </c>
      <c r="V31" s="23">
        <f t="shared" si="8"/>
        <v>26.727924886960587</v>
      </c>
      <c r="W31" s="23">
        <f t="shared" si="8"/>
        <v>25.631195976708618</v>
      </c>
    </row>
    <row r="32" spans="1:25" ht="15" customHeight="1" x14ac:dyDescent="0.2">
      <c r="A32" s="306"/>
      <c r="B32"/>
      <c r="C32" s="173" t="s">
        <v>174</v>
      </c>
      <c r="D32" s="11">
        <f t="shared" ref="D32:W32" si="9">IF(AND(D24&lt;=15,D31&gt;0),1,0)</f>
        <v>1</v>
      </c>
      <c r="E32" s="11">
        <f t="shared" si="9"/>
        <v>1</v>
      </c>
      <c r="F32" s="11">
        <f t="shared" si="9"/>
        <v>1</v>
      </c>
      <c r="G32" s="11">
        <f t="shared" si="9"/>
        <v>1</v>
      </c>
      <c r="H32" s="11">
        <f t="shared" si="9"/>
        <v>1</v>
      </c>
      <c r="I32" s="11">
        <f t="shared" si="9"/>
        <v>1</v>
      </c>
      <c r="J32" s="11">
        <f t="shared" si="9"/>
        <v>1</v>
      </c>
      <c r="K32" s="11">
        <f t="shared" si="9"/>
        <v>1</v>
      </c>
      <c r="L32" s="11">
        <f t="shared" si="9"/>
        <v>1</v>
      </c>
      <c r="M32" s="11">
        <f t="shared" si="9"/>
        <v>1</v>
      </c>
      <c r="N32" s="11">
        <f t="shared" si="9"/>
        <v>1</v>
      </c>
      <c r="O32" s="11">
        <f t="shared" si="9"/>
        <v>1</v>
      </c>
      <c r="P32" s="11">
        <f t="shared" si="9"/>
        <v>1</v>
      </c>
      <c r="Q32" s="11">
        <f t="shared" si="9"/>
        <v>1</v>
      </c>
      <c r="R32" s="11">
        <f t="shared" si="9"/>
        <v>1</v>
      </c>
      <c r="S32" s="11">
        <f t="shared" si="9"/>
        <v>0</v>
      </c>
      <c r="T32" s="11">
        <f t="shared" si="9"/>
        <v>0</v>
      </c>
      <c r="U32" s="11">
        <f t="shared" si="9"/>
        <v>0</v>
      </c>
      <c r="V32" s="11">
        <f t="shared" si="9"/>
        <v>0</v>
      </c>
      <c r="W32" s="11">
        <f t="shared" si="9"/>
        <v>0</v>
      </c>
    </row>
    <row r="33" spans="1:24" ht="15" customHeight="1" x14ac:dyDescent="0.2">
      <c r="A33" s="306"/>
      <c r="B33"/>
      <c r="C33" s="3" t="s">
        <v>22</v>
      </c>
      <c r="D33" s="11">
        <f>IF(AND(SUM($D$32:D32)&lt;=10,D24&lt;=15),MAX(D31,0),0)</f>
        <v>24.550541334000016</v>
      </c>
      <c r="E33" s="11">
        <f>IF(AND(SUM($D$32:E32)&lt;=10,E24&lt;=15),MAX(E31,0),0)</f>
        <v>27.49155621900001</v>
      </c>
      <c r="F33" s="11">
        <f>IF(AND(SUM($D$32:F32)&lt;=10,F24&lt;=15),MAX(F31,0),0)</f>
        <v>29.539785428250006</v>
      </c>
      <c r="G33" s="11">
        <f>IF(AND(SUM($D$32:G32)&lt;=10,G24&lt;=15),MAX(G31,0),0)</f>
        <v>31.564089677962507</v>
      </c>
      <c r="H33" s="11">
        <f>IF(AND(SUM($D$32:H32)&lt;=10,H24&lt;=15),MAX(H31,0),0)</f>
        <v>33.563272720160626</v>
      </c>
      <c r="I33" s="11">
        <f>IF(AND(SUM($D$32:I32)&lt;=10,I24&lt;=15),MAX(I31,0),0)</f>
        <v>35.536078494468654</v>
      </c>
      <c r="J33" s="11">
        <f>IF(AND(SUM($D$32:J32)&lt;=10,J24&lt;=15),MAX(J31,0),0)</f>
        <v>37.481188137492083</v>
      </c>
      <c r="K33" s="11">
        <f>IF(AND(SUM($D$32:K32)&lt;=10,K24&lt;=15),MAX(K31,0),0)</f>
        <v>39.397216842666694</v>
      </c>
      <c r="L33" s="11">
        <f>IF(AND(SUM($D$32:L32)&lt;=10,L24&lt;=15),MAX(L31,0),0)</f>
        <v>41.908644213100033</v>
      </c>
      <c r="M33" s="11">
        <f>IF(AND(SUM($D$32:M32)&lt;=10,M24&lt;=15),MAX(M31,0),0)</f>
        <v>41.235347799555029</v>
      </c>
      <c r="N33" s="11">
        <f>IF(AND(SUM($D$32:N32)&lt;=10,N24&lt;=15),MAX(N31,0),0)</f>
        <v>0</v>
      </c>
      <c r="O33" s="11">
        <f>IF(AND(SUM($D$32:O32)&lt;=10,O24&lt;=15),MAX(O31,0),0)</f>
        <v>0</v>
      </c>
      <c r="P33" s="11">
        <f>IF(AND(SUM($D$32:P32)&lt;=10,P24&lt;=15),MAX(P31,0),0)</f>
        <v>0</v>
      </c>
      <c r="Q33" s="11">
        <f>IF(AND(SUM($D$32:Q32)&lt;=10,Q24&lt;=15),MAX(Q31,0),0)</f>
        <v>0</v>
      </c>
      <c r="R33" s="11">
        <f>IF(AND(SUM($D$32:R32)&lt;=10,R24&lt;=15),MAX(R31,0),0)</f>
        <v>0</v>
      </c>
      <c r="S33" s="11">
        <f>IF(AND(SUM($D$32:S32)&lt;=10,S24&lt;=15),MAX(S31,0),0)</f>
        <v>0</v>
      </c>
      <c r="T33" s="11">
        <f>IF(AND(SUM($D$32:T32)&lt;=10,T24&lt;=15),MAX(T31,0),0)</f>
        <v>0</v>
      </c>
      <c r="U33" s="11">
        <f>IF(AND(SUM($D$32:U32)&lt;=10,U24&lt;=15),MAX(U31,0),0)</f>
        <v>0</v>
      </c>
      <c r="V33" s="11">
        <f>IF(AND(SUM($D$32:V32)&lt;=10,V24&lt;=15),MAX(V31,0),0)</f>
        <v>0</v>
      </c>
      <c r="W33" s="11">
        <f>IF(AND(SUM($D$32:W32)&lt;=10,W24&lt;=15),MAX(W31,0),0)</f>
        <v>0</v>
      </c>
    </row>
    <row r="34" spans="1:24" ht="15" customHeight="1" x14ac:dyDescent="0.2">
      <c r="A34" s="306"/>
      <c r="B34"/>
      <c r="C34" s="3" t="s">
        <v>21</v>
      </c>
      <c r="D34" s="11">
        <f>MAX(D29-D33,0)</f>
        <v>0</v>
      </c>
      <c r="E34" s="11">
        <f t="shared" ref="E34:W34" si="10">MAX(E29-E33,0)</f>
        <v>0</v>
      </c>
      <c r="F34" s="11">
        <f t="shared" si="10"/>
        <v>0</v>
      </c>
      <c r="G34" s="11">
        <f t="shared" si="10"/>
        <v>0</v>
      </c>
      <c r="H34" s="11">
        <f t="shared" si="10"/>
        <v>0</v>
      </c>
      <c r="I34" s="11">
        <f t="shared" si="10"/>
        <v>0</v>
      </c>
      <c r="J34" s="11">
        <f t="shared" si="10"/>
        <v>0</v>
      </c>
      <c r="K34" s="11">
        <f t="shared" si="10"/>
        <v>0</v>
      </c>
      <c r="L34" s="11">
        <f t="shared" si="10"/>
        <v>0</v>
      </c>
      <c r="M34" s="11">
        <f t="shared" si="10"/>
        <v>0</v>
      </c>
      <c r="N34" s="11">
        <f t="shared" si="10"/>
        <v>40.528386565332788</v>
      </c>
      <c r="O34" s="11">
        <f t="shared" si="10"/>
        <v>39.786077269399428</v>
      </c>
      <c r="P34" s="11">
        <f t="shared" si="10"/>
        <v>32.294583116669386</v>
      </c>
      <c r="Q34" s="11">
        <f t="shared" si="10"/>
        <v>31.47618711790286</v>
      </c>
      <c r="R34" s="11">
        <f t="shared" si="10"/>
        <v>30.616871319198001</v>
      </c>
      <c r="S34" s="11">
        <f t="shared" si="10"/>
        <v>29.714589730557904</v>
      </c>
      <c r="T34" s="11">
        <f t="shared" si="10"/>
        <v>28.7671940624858</v>
      </c>
      <c r="U34" s="11">
        <f t="shared" si="10"/>
        <v>27.772428611010085</v>
      </c>
      <c r="V34" s="11">
        <f t="shared" si="10"/>
        <v>26.727924886960587</v>
      </c>
      <c r="W34" s="11">
        <f t="shared" si="10"/>
        <v>25.631195976708618</v>
      </c>
    </row>
    <row r="35" spans="1:24" ht="15" customHeight="1" x14ac:dyDescent="0.2">
      <c r="A35" s="306"/>
      <c r="B35"/>
      <c r="C35" s="3"/>
      <c r="D35" s="15"/>
      <c r="E35" s="15"/>
      <c r="F35" s="15"/>
      <c r="G35" s="15"/>
      <c r="H35" s="15"/>
      <c r="I35" s="15"/>
      <c r="J35" s="15"/>
      <c r="K35" s="15"/>
      <c r="L35" s="15"/>
      <c r="M35" s="15"/>
      <c r="N35" s="15"/>
      <c r="O35" s="15"/>
      <c r="P35" s="15"/>
      <c r="Q35" s="15"/>
      <c r="R35" s="15"/>
      <c r="S35" s="15"/>
      <c r="T35" s="15"/>
      <c r="U35" s="15"/>
      <c r="V35" s="15"/>
      <c r="W35" s="15"/>
    </row>
    <row r="36" spans="1:24" ht="15" customHeight="1" x14ac:dyDescent="0.2">
      <c r="A36" s="306"/>
      <c r="B36"/>
      <c r="C36" s="173" t="s">
        <v>175</v>
      </c>
      <c r="D36" s="11">
        <f>MAX(D34*Assumptions!$C$33,0)</f>
        <v>0</v>
      </c>
      <c r="E36" s="11">
        <f>MAX(E34*Assumptions!$C$33,0)</f>
        <v>0</v>
      </c>
      <c r="F36" s="11">
        <f>MAX(F34*Assumptions!$C$33,0)</f>
        <v>0</v>
      </c>
      <c r="G36" s="11">
        <f>MAX(G34*Assumptions!$C$33,0)</f>
        <v>0</v>
      </c>
      <c r="H36" s="11">
        <f>MAX(H34*Assumptions!$C$33,0)</f>
        <v>0</v>
      </c>
      <c r="I36" s="11">
        <f>MAX(I34*Assumptions!$C$33,0)</f>
        <v>0</v>
      </c>
      <c r="J36" s="11">
        <f>MAX(J34*Assumptions!$C$33,0)</f>
        <v>0</v>
      </c>
      <c r="K36" s="11">
        <f>MAX(K34*Assumptions!$C$33,0)</f>
        <v>0</v>
      </c>
      <c r="L36" s="11">
        <f>MAX(L34*Assumptions!$C$33,0)</f>
        <v>0</v>
      </c>
      <c r="M36" s="11">
        <f>MAX(M34*Assumptions!$C$33,0)</f>
        <v>0</v>
      </c>
      <c r="N36" s="11">
        <f>MAX(N34*Assumptions!$C$33,0)</f>
        <v>13.149435021122224</v>
      </c>
      <c r="O36" s="11">
        <f>MAX(O34*Assumptions!$C$33,0)</f>
        <v>12.908592770056645</v>
      </c>
      <c r="P36" s="11">
        <f>MAX(P34*Assumptions!$C$33,0)</f>
        <v>10.477977492203383</v>
      </c>
      <c r="Q36" s="11">
        <f>MAX(Q34*Assumptions!$C$33,0)</f>
        <v>10.212448910403584</v>
      </c>
      <c r="R36" s="11">
        <f>MAX(R34*Assumptions!$C$33,0)</f>
        <v>9.9336438995137915</v>
      </c>
      <c r="S36" s="11">
        <f>MAX(S34*Assumptions!$C$33,0)</f>
        <v>9.6408986380795128</v>
      </c>
      <c r="T36" s="11">
        <f>MAX(T34*Assumptions!$C$33,0)</f>
        <v>9.3335161135735181</v>
      </c>
      <c r="U36" s="11">
        <f>MAX(U34*Assumptions!$C$33,0)</f>
        <v>9.0107644628422232</v>
      </c>
      <c r="V36" s="11">
        <f>MAX(V34*Assumptions!$C$33,0)</f>
        <v>8.6718752295743631</v>
      </c>
      <c r="W36" s="11">
        <f>MAX(W34*Assumptions!$C$33,0)</f>
        <v>8.3160415346431122</v>
      </c>
    </row>
    <row r="37" spans="1:24" ht="15" customHeight="1" x14ac:dyDescent="0.2">
      <c r="A37" s="306"/>
      <c r="B37"/>
      <c r="C37" s="173" t="s">
        <v>124</v>
      </c>
      <c r="D37" s="11">
        <f>IF(D32&gt;0,Projections!D17*Assumptions!$C$32,MAX(Projections!D17*Assumptions!$C$32,0))</f>
        <v>2.3831152054780178</v>
      </c>
      <c r="E37" s="11">
        <f>IF(E32&gt;0,Projections!E17*Assumptions!$C$32,MAX(Projections!E17*Assumptions!$C$32,0))</f>
        <v>2.9713181824780168</v>
      </c>
      <c r="F37" s="11">
        <f>IF(F32&gt;0,Projections!F17*Assumptions!$C$32,MAX(Projections!F17*Assumptions!$C$32,0))</f>
        <v>3.3809640243280157</v>
      </c>
      <c r="G37" s="11">
        <f>IF(G32&gt;0,Projections!G17*Assumptions!$C$32,MAX(Projections!G17*Assumptions!$C$32,0))</f>
        <v>3.7858248742705158</v>
      </c>
      <c r="H37" s="11">
        <f>IF(H32&gt;0,Projections!H17*Assumptions!$C$32,MAX(Projections!H17*Assumptions!$C$32,0))</f>
        <v>4.1856614827101399</v>
      </c>
      <c r="I37" s="11">
        <f>IF(I32&gt;0,Projections!I17*Assumptions!$C$32,MAX(Projections!I17*Assumptions!$C$32,0))</f>
        <v>4.5802226375717456</v>
      </c>
      <c r="J37" s="11">
        <f>IF(J32&gt;0,Projections!J17*Assumptions!$C$32,MAX(Projections!J17*Assumptions!$C$32,0))</f>
        <v>4.9692445661764317</v>
      </c>
      <c r="K37" s="11">
        <f>IF(K32&gt;0,Projections!K17*Assumptions!$C$32,MAX(Projections!K17*Assumptions!$C$32,0))</f>
        <v>5.3524503072113525</v>
      </c>
      <c r="L37" s="11">
        <f>IF(L32&gt;0,Projections!L17*Assumptions!$C$32,MAX(Projections!L17*Assumptions!$C$32,0))</f>
        <v>5.8547357812980216</v>
      </c>
      <c r="M37" s="11">
        <f>IF(M32&gt;0,Projections!M17*Assumptions!$C$32,MAX(Projections!M17*Assumptions!$C$32,0))</f>
        <v>5.7200764985890213</v>
      </c>
      <c r="N37" s="11">
        <f>IF(N32&gt;0,Projections!N17*Assumptions!$C$32,MAX(Projections!N17*Assumptions!$C$32,0))</f>
        <v>5.5786842517445727</v>
      </c>
      <c r="O37" s="11">
        <f>IF(O32&gt;0,Projections!O17*Assumptions!$C$32,MAX(Projections!O17*Assumptions!$C$32,0))</f>
        <v>5.4302223925578996</v>
      </c>
      <c r="P37" s="11">
        <f>IF(P32&gt;0,Projections!P17*Assumptions!$C$32,MAX(Projections!P17*Assumptions!$C$32,0))</f>
        <v>3.9319235620118924</v>
      </c>
      <c r="Q37" s="11">
        <f>IF(Q32&gt;0,Projections!Q17*Assumptions!$C$32,MAX(Projections!Q17*Assumptions!$C$32,0))</f>
        <v>3.7682443622585868</v>
      </c>
      <c r="R37" s="11">
        <f>IF(R32&gt;0,Projections!R17*Assumptions!$C$32,MAX(Projections!R17*Assumptions!$C$32,0))</f>
        <v>3.5963812025176147</v>
      </c>
      <c r="S37" s="11">
        <f>IF(S32&gt;0,Projections!S17*Assumptions!$C$32,MAX(Projections!S17*Assumptions!$C$32,0))</f>
        <v>3.4159248847895953</v>
      </c>
      <c r="T37" s="11">
        <f>IF(T32&gt;0,Projections!T17*Assumptions!$C$32,MAX(Projections!T17*Assumptions!$C$32,0))</f>
        <v>3.2264457511751745</v>
      </c>
      <c r="U37" s="11">
        <f>IF(U32&gt;0,Projections!U17*Assumptions!$C$32,MAX(Projections!U17*Assumptions!$C$32,0))</f>
        <v>4.3722955484381769</v>
      </c>
      <c r="V37" s="11">
        <f>IF(V32&gt;0,Projections!V17*Assumptions!$C$32,MAX(Projections!V17*Assumptions!$C$32,0))</f>
        <v>4.2274330363691446</v>
      </c>
      <c r="W37" s="11">
        <f>IF(W32&gt;0,Projections!W17*Assumptions!$C$32,MAX(Projections!W17*Assumptions!$C$32,0))</f>
        <v>4.0080872543187507</v>
      </c>
    </row>
    <row r="38" spans="1:24" ht="15" customHeight="1" x14ac:dyDescent="0.2">
      <c r="A38" s="306"/>
      <c r="B38" s="172"/>
      <c r="C38" s="173"/>
      <c r="D38" s="11"/>
      <c r="E38" s="11"/>
      <c r="F38" s="11"/>
      <c r="G38" s="11"/>
      <c r="H38" s="11"/>
      <c r="I38" s="11"/>
      <c r="J38" s="11"/>
      <c r="K38" s="11"/>
      <c r="L38" s="11"/>
      <c r="M38" s="11"/>
      <c r="N38" s="11"/>
      <c r="O38" s="11"/>
      <c r="P38" s="11"/>
      <c r="Q38" s="11"/>
      <c r="R38" s="11"/>
      <c r="S38" s="11"/>
      <c r="T38" s="11"/>
      <c r="U38" s="11"/>
      <c r="V38" s="11"/>
      <c r="W38" s="11"/>
    </row>
    <row r="39" spans="1:24" ht="15" customHeight="1" x14ac:dyDescent="0.2">
      <c r="A39" s="306"/>
      <c r="B39" s="172"/>
      <c r="C39" s="173" t="s">
        <v>126</v>
      </c>
      <c r="D39" s="11">
        <v>0</v>
      </c>
      <c r="E39" s="11">
        <f>MAX(0,E37-E36)</f>
        <v>2.9713181824780168</v>
      </c>
      <c r="F39" s="11">
        <f t="shared" ref="F39:W39" si="11">MAX(0,F37-F36)</f>
        <v>3.3809640243280157</v>
      </c>
      <c r="G39" s="11">
        <f t="shared" si="11"/>
        <v>3.7858248742705158</v>
      </c>
      <c r="H39" s="11">
        <f t="shared" si="11"/>
        <v>4.1856614827101399</v>
      </c>
      <c r="I39" s="11">
        <f t="shared" si="11"/>
        <v>4.5802226375717456</v>
      </c>
      <c r="J39" s="11">
        <f t="shared" si="11"/>
        <v>4.9692445661764317</v>
      </c>
      <c r="K39" s="11">
        <f t="shared" si="11"/>
        <v>5.3524503072113525</v>
      </c>
      <c r="L39" s="11">
        <f t="shared" si="11"/>
        <v>5.8547357812980216</v>
      </c>
      <c r="M39" s="11">
        <f t="shared" si="11"/>
        <v>5.7200764985890213</v>
      </c>
      <c r="N39" s="11">
        <f t="shared" si="11"/>
        <v>0</v>
      </c>
      <c r="O39" s="11">
        <f t="shared" si="11"/>
        <v>0</v>
      </c>
      <c r="P39" s="11">
        <f t="shared" si="11"/>
        <v>0</v>
      </c>
      <c r="Q39" s="11">
        <f t="shared" si="11"/>
        <v>0</v>
      </c>
      <c r="R39" s="11">
        <f t="shared" si="11"/>
        <v>0</v>
      </c>
      <c r="S39" s="11">
        <f t="shared" si="11"/>
        <v>0</v>
      </c>
      <c r="T39" s="11">
        <f t="shared" si="11"/>
        <v>0</v>
      </c>
      <c r="U39" s="11">
        <f t="shared" si="11"/>
        <v>0</v>
      </c>
      <c r="V39" s="11">
        <f t="shared" si="11"/>
        <v>0</v>
      </c>
      <c r="W39" s="11">
        <f t="shared" si="11"/>
        <v>0</v>
      </c>
    </row>
    <row r="40" spans="1:24" ht="15" customHeight="1" x14ac:dyDescent="0.2">
      <c r="A40" s="306"/>
      <c r="B40" s="172"/>
      <c r="C40" s="173" t="s">
        <v>125</v>
      </c>
      <c r="D40" s="11">
        <v>0</v>
      </c>
      <c r="E40" s="11">
        <f>MAX(IF(D41=0,0,MIN(D41,E36-E37)),0)</f>
        <v>0</v>
      </c>
      <c r="F40" s="11">
        <f t="shared" ref="F40:W40" si="12">MAX(IF(E41=0,0,MIN(E41,F36-F37)),0)</f>
        <v>0</v>
      </c>
      <c r="G40" s="11">
        <f t="shared" si="12"/>
        <v>0</v>
      </c>
      <c r="H40" s="11">
        <f t="shared" si="12"/>
        <v>0</v>
      </c>
      <c r="I40" s="11">
        <f t="shared" si="12"/>
        <v>0</v>
      </c>
      <c r="J40" s="11">
        <f t="shared" si="12"/>
        <v>0</v>
      </c>
      <c r="K40" s="11">
        <f t="shared" si="12"/>
        <v>0</v>
      </c>
      <c r="L40" s="11">
        <f t="shared" si="12"/>
        <v>0</v>
      </c>
      <c r="M40" s="11">
        <f t="shared" si="12"/>
        <v>0</v>
      </c>
      <c r="N40" s="11">
        <f t="shared" si="12"/>
        <v>7.5707507693776517</v>
      </c>
      <c r="O40" s="11">
        <f t="shared" si="12"/>
        <v>7.4783703774987451</v>
      </c>
      <c r="P40" s="11">
        <f t="shared" si="12"/>
        <v>6.5460539301914906</v>
      </c>
      <c r="Q40" s="11">
        <f t="shared" si="12"/>
        <v>6.444204548144997</v>
      </c>
      <c r="R40" s="11">
        <f t="shared" si="12"/>
        <v>6.3372626969961772</v>
      </c>
      <c r="S40" s="11">
        <f t="shared" si="12"/>
        <v>6.2249737532899179</v>
      </c>
      <c r="T40" s="11">
        <f t="shared" si="12"/>
        <v>2.5819974846123017</v>
      </c>
      <c r="U40" s="11">
        <f t="shared" si="12"/>
        <v>0</v>
      </c>
      <c r="V40" s="11">
        <f t="shared" si="12"/>
        <v>0</v>
      </c>
      <c r="W40" s="11">
        <f t="shared" si="12"/>
        <v>0</v>
      </c>
    </row>
    <row r="41" spans="1:24" ht="15" customHeight="1" x14ac:dyDescent="0.2">
      <c r="A41" s="306"/>
      <c r="B41" s="172"/>
      <c r="C41" s="173" t="s">
        <v>127</v>
      </c>
      <c r="D41" s="11">
        <f>IF(AND((D37&gt;D36),D40=0),D37-D36,0)</f>
        <v>2.3831152054780178</v>
      </c>
      <c r="E41" s="11">
        <f>D41+E39-E40</f>
        <v>5.3544333879560346</v>
      </c>
      <c r="F41" s="11">
        <f t="shared" ref="F41:W41" si="13">E41+F39-F40</f>
        <v>8.7353974122840512</v>
      </c>
      <c r="G41" s="11">
        <f t="shared" si="13"/>
        <v>12.521222286554567</v>
      </c>
      <c r="H41" s="11">
        <f t="shared" si="13"/>
        <v>16.706883769264707</v>
      </c>
      <c r="I41" s="11">
        <f t="shared" si="13"/>
        <v>21.28710640683645</v>
      </c>
      <c r="J41" s="11">
        <f t="shared" si="13"/>
        <v>26.256350973012882</v>
      </c>
      <c r="K41" s="11">
        <f t="shared" si="13"/>
        <v>31.608801280224235</v>
      </c>
      <c r="L41" s="11">
        <f t="shared" si="13"/>
        <v>37.46353706152226</v>
      </c>
      <c r="M41" s="11">
        <f t="shared" si="13"/>
        <v>43.183613560111283</v>
      </c>
      <c r="N41" s="11">
        <f t="shared" si="13"/>
        <v>35.612862790733629</v>
      </c>
      <c r="O41" s="11">
        <f t="shared" si="13"/>
        <v>28.134492413234884</v>
      </c>
      <c r="P41" s="11">
        <f t="shared" si="13"/>
        <v>21.588438483043394</v>
      </c>
      <c r="Q41" s="11">
        <f t="shared" si="13"/>
        <v>15.144233934898397</v>
      </c>
      <c r="R41" s="11">
        <f t="shared" si="13"/>
        <v>8.8069712379022196</v>
      </c>
      <c r="S41" s="11">
        <f t="shared" si="13"/>
        <v>2.5819974846123017</v>
      </c>
      <c r="T41" s="11">
        <f t="shared" si="13"/>
        <v>0</v>
      </c>
      <c r="U41" s="11">
        <f t="shared" si="13"/>
        <v>0</v>
      </c>
      <c r="V41" s="11">
        <f t="shared" si="13"/>
        <v>0</v>
      </c>
      <c r="W41" s="11">
        <f t="shared" si="13"/>
        <v>0</v>
      </c>
    </row>
    <row r="42" spans="1:24" ht="15" customHeight="1" x14ac:dyDescent="0.2">
      <c r="A42" s="306"/>
      <c r="B42"/>
      <c r="C42" s="3"/>
      <c r="D42" s="11"/>
      <c r="E42" s="11"/>
      <c r="F42" s="11"/>
      <c r="G42" s="11"/>
      <c r="H42" s="11"/>
      <c r="I42" s="11"/>
      <c r="J42" s="11"/>
      <c r="K42" s="11"/>
      <c r="L42" s="11"/>
      <c r="M42" s="11"/>
      <c r="N42" s="11"/>
      <c r="O42" s="11"/>
      <c r="P42" s="11"/>
      <c r="Q42" s="11"/>
      <c r="R42" s="11"/>
      <c r="S42" s="11"/>
      <c r="T42" s="11"/>
      <c r="U42" s="11"/>
      <c r="V42" s="11"/>
      <c r="W42" s="11"/>
    </row>
    <row r="43" spans="1:24" ht="15" customHeight="1" x14ac:dyDescent="0.2">
      <c r="A43" s="306"/>
      <c r="B43"/>
      <c r="C43" s="17" t="s">
        <v>128</v>
      </c>
      <c r="D43" s="20">
        <f>IF((MAX(D36,D37)-D40)&gt;0,MAX(D36,D37)-D40,MAX(D36,D37))</f>
        <v>2.3831152054780178</v>
      </c>
      <c r="E43" s="20">
        <f>MAX(E37,(E36-E40))</f>
        <v>2.9713181824780168</v>
      </c>
      <c r="F43" s="20">
        <f t="shared" ref="F43:W43" si="14">MAX(F37,(F36-F40))</f>
        <v>3.3809640243280157</v>
      </c>
      <c r="G43" s="20">
        <f t="shared" si="14"/>
        <v>3.7858248742705158</v>
      </c>
      <c r="H43" s="20">
        <f t="shared" si="14"/>
        <v>4.1856614827101399</v>
      </c>
      <c r="I43" s="20">
        <f t="shared" si="14"/>
        <v>4.5802226375717456</v>
      </c>
      <c r="J43" s="20">
        <f t="shared" si="14"/>
        <v>4.9692445661764317</v>
      </c>
      <c r="K43" s="20">
        <f t="shared" si="14"/>
        <v>5.3524503072113525</v>
      </c>
      <c r="L43" s="20">
        <f t="shared" si="14"/>
        <v>5.8547357812980216</v>
      </c>
      <c r="M43" s="20">
        <f t="shared" si="14"/>
        <v>5.7200764985890213</v>
      </c>
      <c r="N43" s="20">
        <f t="shared" si="14"/>
        <v>5.5786842517445727</v>
      </c>
      <c r="O43" s="20">
        <f t="shared" si="14"/>
        <v>5.4302223925578996</v>
      </c>
      <c r="P43" s="20">
        <f t="shared" si="14"/>
        <v>3.9319235620118924</v>
      </c>
      <c r="Q43" s="20">
        <f t="shared" si="14"/>
        <v>3.7682443622585868</v>
      </c>
      <c r="R43" s="20">
        <f t="shared" si="14"/>
        <v>3.5963812025176147</v>
      </c>
      <c r="S43" s="20">
        <f t="shared" si="14"/>
        <v>3.4159248847895953</v>
      </c>
      <c r="T43" s="20">
        <f t="shared" si="14"/>
        <v>6.7515186289612164</v>
      </c>
      <c r="U43" s="20">
        <f t="shared" si="14"/>
        <v>9.0107644628422232</v>
      </c>
      <c r="V43" s="20">
        <f t="shared" si="14"/>
        <v>8.6718752295743631</v>
      </c>
      <c r="W43" s="20">
        <f t="shared" si="14"/>
        <v>8.3160415346431122</v>
      </c>
    </row>
    <row r="44" spans="1:24" ht="15" customHeight="1" x14ac:dyDescent="0.2">
      <c r="A44" s="306"/>
      <c r="B44"/>
      <c r="C44"/>
      <c r="D44"/>
      <c r="E44"/>
      <c r="F44"/>
      <c r="G44"/>
      <c r="H44"/>
      <c r="I44"/>
      <c r="J44"/>
      <c r="K44"/>
      <c r="L44"/>
      <c r="M44"/>
      <c r="N44"/>
      <c r="O44"/>
      <c r="P44"/>
      <c r="Q44"/>
      <c r="R44"/>
      <c r="S44"/>
      <c r="T44"/>
      <c r="U44"/>
      <c r="V44"/>
      <c r="W44"/>
      <c r="X44"/>
    </row>
    <row r="45" spans="1:24" ht="15" customHeight="1" x14ac:dyDescent="0.2">
      <c r="A45" s="306"/>
      <c r="B45"/>
      <c r="C45"/>
      <c r="D45" s="12"/>
      <c r="E45" s="13"/>
      <c r="F45" s="13"/>
      <c r="G45" s="13"/>
      <c r="H45" s="13"/>
      <c r="I45" s="13"/>
      <c r="J45" s="13"/>
      <c r="K45" s="13"/>
      <c r="L45" s="13"/>
      <c r="M45" s="13"/>
      <c r="N45" s="13"/>
      <c r="O45" s="13"/>
      <c r="P45" s="13"/>
      <c r="Q45" s="13"/>
      <c r="R45" s="13"/>
      <c r="S45" s="13"/>
      <c r="T45" s="13"/>
      <c r="U45" s="13"/>
      <c r="V45" s="13"/>
      <c r="W45" s="13"/>
      <c r="X45" s="13"/>
    </row>
    <row r="46" spans="1:24" ht="15" customHeight="1" x14ac:dyDescent="0.2">
      <c r="A46" s="55"/>
      <c r="B46"/>
      <c r="C46" s="2" t="s">
        <v>23</v>
      </c>
      <c r="D46"/>
      <c r="E46"/>
      <c r="F46"/>
      <c r="G46"/>
      <c r="H46"/>
      <c r="I46"/>
      <c r="J46"/>
      <c r="K46"/>
      <c r="L46"/>
      <c r="M46"/>
      <c r="N46"/>
      <c r="O46"/>
      <c r="P46"/>
      <c r="Q46"/>
      <c r="R46"/>
      <c r="S46"/>
      <c r="T46"/>
      <c r="U46"/>
      <c r="V46"/>
      <c r="W46"/>
      <c r="X46"/>
    </row>
    <row r="47" spans="1:24" ht="15" customHeight="1" x14ac:dyDescent="0.2">
      <c r="A47" s="55"/>
      <c r="B47"/>
      <c r="C47"/>
      <c r="D47"/>
      <c r="E47"/>
      <c r="F47"/>
      <c r="G47"/>
      <c r="H47"/>
      <c r="I47"/>
      <c r="J47"/>
      <c r="K47"/>
      <c r="L47"/>
      <c r="M47"/>
      <c r="N47"/>
      <c r="O47"/>
      <c r="P47"/>
      <c r="Q47"/>
      <c r="R47"/>
      <c r="S47"/>
      <c r="T47"/>
      <c r="U47"/>
      <c r="V47"/>
      <c r="W47"/>
      <c r="X47"/>
    </row>
    <row r="48" spans="1:24" ht="15" customHeight="1" x14ac:dyDescent="0.2">
      <c r="C48" s="7"/>
      <c r="D48" s="7"/>
    </row>
    <row r="49" spans="1:26" ht="15" customHeight="1" thickBot="1" x14ac:dyDescent="0.25">
      <c r="A49" s="306" t="s">
        <v>28</v>
      </c>
      <c r="C49" s="40" t="s">
        <v>16</v>
      </c>
      <c r="D49" s="53" t="s">
        <v>166</v>
      </c>
      <c r="E49" s="53" t="s">
        <v>165</v>
      </c>
      <c r="F49" s="53" t="s">
        <v>164</v>
      </c>
      <c r="G49" s="53" t="s">
        <v>163</v>
      </c>
      <c r="H49" s="53" t="s">
        <v>144</v>
      </c>
      <c r="I49" s="53" t="s">
        <v>145</v>
      </c>
      <c r="J49" s="53" t="s">
        <v>146</v>
      </c>
      <c r="K49" s="53" t="s">
        <v>147</v>
      </c>
      <c r="L49" s="53" t="s">
        <v>148</v>
      </c>
      <c r="M49" s="53" t="s">
        <v>149</v>
      </c>
      <c r="N49" s="53" t="s">
        <v>150</v>
      </c>
      <c r="O49" s="53" t="s">
        <v>151</v>
      </c>
      <c r="P49" s="53" t="s">
        <v>152</v>
      </c>
      <c r="Q49" s="53" t="s">
        <v>153</v>
      </c>
      <c r="R49" s="53" t="s">
        <v>154</v>
      </c>
      <c r="S49" s="53" t="s">
        <v>155</v>
      </c>
      <c r="T49" s="53" t="s">
        <v>156</v>
      </c>
      <c r="U49" s="53" t="s">
        <v>157</v>
      </c>
      <c r="V49" s="53" t="s">
        <v>158</v>
      </c>
      <c r="W49" s="53" t="s">
        <v>159</v>
      </c>
      <c r="X49" s="53" t="s">
        <v>160</v>
      </c>
      <c r="Y49" s="53" t="s">
        <v>161</v>
      </c>
      <c r="Z49" s="53" t="s">
        <v>162</v>
      </c>
    </row>
    <row r="50" spans="1:26" ht="15" customHeight="1" x14ac:dyDescent="0.2">
      <c r="A50" s="306"/>
      <c r="D50" s="9"/>
      <c r="E50" s="5"/>
      <c r="F50" s="5"/>
      <c r="G50" s="123"/>
      <c r="H50" s="23"/>
      <c r="I50" s="23"/>
      <c r="J50" s="23"/>
      <c r="K50" s="23"/>
      <c r="L50" s="23"/>
      <c r="M50" s="23"/>
      <c r="N50" s="23"/>
      <c r="O50" s="23"/>
      <c r="P50" s="23"/>
      <c r="Q50" s="23"/>
      <c r="R50" s="23"/>
      <c r="S50" s="23"/>
      <c r="T50" s="23"/>
      <c r="U50" s="23"/>
      <c r="V50" s="23"/>
      <c r="W50" s="23"/>
      <c r="X50" s="23"/>
      <c r="Y50" s="23"/>
      <c r="Z50" s="23"/>
    </row>
    <row r="51" spans="1:26" ht="15" customHeight="1" x14ac:dyDescent="0.2">
      <c r="A51" s="306"/>
      <c r="C51" s="9" t="s">
        <v>112</v>
      </c>
      <c r="D51" s="160">
        <f>-Assumptions!$C$69*Assumptions!C40/3</f>
        <v>-30.080099999999998</v>
      </c>
      <c r="E51" s="160">
        <f>D51</f>
        <v>-30.080099999999998</v>
      </c>
      <c r="F51" s="160">
        <f>E51</f>
        <v>-30.080099999999998</v>
      </c>
      <c r="G51" s="41"/>
      <c r="H51" s="23"/>
      <c r="I51" s="23"/>
      <c r="J51" s="23"/>
      <c r="K51" s="23"/>
      <c r="L51" s="23"/>
      <c r="M51" s="23"/>
      <c r="N51" s="23"/>
      <c r="O51" s="23"/>
      <c r="P51" s="23"/>
      <c r="Q51" s="23"/>
      <c r="R51" s="23"/>
      <c r="S51" s="23"/>
      <c r="T51" s="23"/>
      <c r="U51" s="23"/>
      <c r="V51" s="23"/>
      <c r="W51" s="23"/>
      <c r="X51" s="23"/>
      <c r="Y51" s="23"/>
      <c r="Z51" s="23"/>
    </row>
    <row r="52" spans="1:26" ht="15" customHeight="1" x14ac:dyDescent="0.2">
      <c r="A52" s="306"/>
      <c r="C52" s="9" t="s">
        <v>171</v>
      </c>
      <c r="D52" s="160"/>
      <c r="E52" s="160"/>
      <c r="F52" s="160"/>
      <c r="G52" s="41">
        <f>Assumptions!H118</f>
        <v>50.056070000000005</v>
      </c>
      <c r="H52" s="41">
        <f>Assumptions!H122</f>
        <v>21.056069999999998</v>
      </c>
      <c r="I52" s="41">
        <f>Assumptions!H126</f>
        <v>21.056069999999998</v>
      </c>
      <c r="J52" s="41">
        <f>Assumptions!H130</f>
        <v>21.056069999999998</v>
      </c>
      <c r="K52" s="41">
        <f>Assumptions!H134</f>
        <v>21.056069999999998</v>
      </c>
      <c r="L52" s="41">
        <f>Assumptions!H142</f>
        <v>21.056069999999998</v>
      </c>
      <c r="M52" s="41">
        <f>Assumptions!H146</f>
        <v>21.056069999999998</v>
      </c>
      <c r="N52" s="41">
        <f>Assumptions!H150</f>
        <v>13.112140000000084</v>
      </c>
      <c r="O52" s="41">
        <f>Assumptions!I154</f>
        <v>0</v>
      </c>
      <c r="P52" s="41">
        <f>Assumptions!J158</f>
        <v>0</v>
      </c>
      <c r="Q52" s="23"/>
      <c r="R52" s="23"/>
      <c r="S52" s="23"/>
      <c r="T52" s="23"/>
      <c r="U52" s="23"/>
      <c r="V52" s="23"/>
      <c r="W52" s="23"/>
      <c r="X52" s="23"/>
      <c r="Y52" s="23"/>
      <c r="Z52" s="23"/>
    </row>
    <row r="53" spans="1:26" ht="15" customHeight="1" x14ac:dyDescent="0.2">
      <c r="A53" s="306"/>
      <c r="C53" s="9" t="s">
        <v>170</v>
      </c>
      <c r="D53" s="160">
        <f>SUM(D51:D52)</f>
        <v>-30.080099999999998</v>
      </c>
      <c r="E53" s="160">
        <f t="shared" ref="E53:W53" si="15">SUM(E51:E52)</f>
        <v>-30.080099999999998</v>
      </c>
      <c r="F53" s="160">
        <f t="shared" si="15"/>
        <v>-30.080099999999998</v>
      </c>
      <c r="G53" s="160">
        <f t="shared" si="15"/>
        <v>50.056070000000005</v>
      </c>
      <c r="H53" s="160">
        <f t="shared" si="15"/>
        <v>21.056069999999998</v>
      </c>
      <c r="I53" s="160">
        <f t="shared" si="15"/>
        <v>21.056069999999998</v>
      </c>
      <c r="J53" s="160">
        <f t="shared" si="15"/>
        <v>21.056069999999998</v>
      </c>
      <c r="K53" s="160">
        <f t="shared" si="15"/>
        <v>21.056069999999998</v>
      </c>
      <c r="L53" s="160">
        <f t="shared" si="15"/>
        <v>21.056069999999998</v>
      </c>
      <c r="M53" s="160">
        <f t="shared" si="15"/>
        <v>21.056069999999998</v>
      </c>
      <c r="N53" s="160">
        <f t="shared" si="15"/>
        <v>13.112140000000084</v>
      </c>
      <c r="O53" s="160">
        <f t="shared" si="15"/>
        <v>0</v>
      </c>
      <c r="P53" s="160">
        <f t="shared" si="15"/>
        <v>0</v>
      </c>
      <c r="Q53" s="160">
        <f t="shared" si="15"/>
        <v>0</v>
      </c>
      <c r="R53" s="160">
        <f t="shared" si="15"/>
        <v>0</v>
      </c>
      <c r="S53" s="160">
        <f t="shared" si="15"/>
        <v>0</v>
      </c>
      <c r="T53" s="160">
        <f t="shared" si="15"/>
        <v>0</v>
      </c>
      <c r="U53" s="160">
        <f t="shared" si="15"/>
        <v>0</v>
      </c>
      <c r="V53" s="160">
        <f t="shared" si="15"/>
        <v>0</v>
      </c>
      <c r="W53" s="160">
        <f t="shared" si="15"/>
        <v>0</v>
      </c>
      <c r="X53" s="23"/>
      <c r="Y53" s="23"/>
      <c r="Z53" s="23"/>
    </row>
    <row r="54" spans="1:26" ht="15" customHeight="1" x14ac:dyDescent="0.2">
      <c r="A54" s="306"/>
      <c r="C54" s="9"/>
      <c r="D54" s="160"/>
      <c r="E54" s="160"/>
      <c r="F54" s="160"/>
      <c r="G54" s="41"/>
      <c r="H54" s="23"/>
      <c r="I54" s="23"/>
      <c r="J54" s="23"/>
      <c r="K54" s="23"/>
      <c r="L54" s="23"/>
      <c r="M54" s="23"/>
      <c r="N54" s="23"/>
      <c r="O54" s="23"/>
      <c r="P54" s="23"/>
      <c r="Q54" s="23"/>
      <c r="R54" s="23"/>
      <c r="S54" s="23"/>
      <c r="T54" s="23"/>
      <c r="U54" s="23"/>
      <c r="V54" s="23"/>
      <c r="W54" s="23"/>
      <c r="X54" s="23"/>
      <c r="Y54" s="23"/>
      <c r="Z54" s="23"/>
    </row>
    <row r="55" spans="1:26" ht="15" customHeight="1" x14ac:dyDescent="0.2">
      <c r="A55" s="306"/>
      <c r="C55" s="9" t="s">
        <v>1</v>
      </c>
      <c r="D55" s="160"/>
      <c r="E55" s="160"/>
      <c r="F55" s="160"/>
      <c r="G55" s="41"/>
      <c r="H55" s="23"/>
      <c r="I55" s="23"/>
      <c r="J55" s="23"/>
      <c r="K55" s="23"/>
      <c r="L55" s="23"/>
      <c r="M55" s="23"/>
      <c r="N55" s="23"/>
      <c r="O55" s="23"/>
      <c r="P55" s="23"/>
      <c r="Q55" s="23"/>
      <c r="R55" s="23"/>
      <c r="S55" s="23"/>
      <c r="T55" s="23"/>
      <c r="U55" s="23"/>
      <c r="V55" s="23"/>
      <c r="W55" s="23"/>
      <c r="X55" s="23"/>
      <c r="Y55" s="23"/>
      <c r="Z55" s="23"/>
    </row>
    <row r="56" spans="1:26" ht="15" customHeight="1" x14ac:dyDescent="0.2">
      <c r="A56" s="306"/>
      <c r="C56" s="47" t="s">
        <v>3</v>
      </c>
      <c r="D56" s="160"/>
      <c r="F56" s="177"/>
      <c r="G56" s="177">
        <f>D19</f>
        <v>9.5324608219120712</v>
      </c>
      <c r="H56" s="177">
        <f t="shared" ref="H56:Z56" si="16">E19</f>
        <v>11.885272729912066</v>
      </c>
      <c r="I56" s="177">
        <f t="shared" si="16"/>
        <v>13.523856097312063</v>
      </c>
      <c r="J56" s="177">
        <f t="shared" si="16"/>
        <v>15.143299497082063</v>
      </c>
      <c r="K56" s="177">
        <f t="shared" si="16"/>
        <v>16.74264593084056</v>
      </c>
      <c r="L56" s="177">
        <f t="shared" si="16"/>
        <v>18.320890550286983</v>
      </c>
      <c r="M56" s="177">
        <f t="shared" si="16"/>
        <v>19.876978264705727</v>
      </c>
      <c r="N56" s="177">
        <f t="shared" si="16"/>
        <v>21.40980122884541</v>
      </c>
      <c r="O56" s="177">
        <f t="shared" si="16"/>
        <v>23.418943125192087</v>
      </c>
      <c r="P56" s="177">
        <f t="shared" si="16"/>
        <v>22.880305994356085</v>
      </c>
      <c r="Q56" s="177">
        <f t="shared" si="16"/>
        <v>22.314737006978287</v>
      </c>
      <c r="R56" s="177">
        <f t="shared" si="16"/>
        <v>21.720889570231598</v>
      </c>
      <c r="S56" s="177">
        <f t="shared" si="16"/>
        <v>15.72769424804757</v>
      </c>
      <c r="T56" s="177">
        <f t="shared" si="16"/>
        <v>15.072977449034346</v>
      </c>
      <c r="U56" s="177">
        <f t="shared" si="16"/>
        <v>14.385524810070459</v>
      </c>
      <c r="V56" s="177">
        <f t="shared" si="16"/>
        <v>13.663699539158381</v>
      </c>
      <c r="W56" s="177">
        <f t="shared" si="16"/>
        <v>9.3807101269146553</v>
      </c>
      <c r="X56" s="177">
        <f t="shared" si="16"/>
        <v>12.850713279348662</v>
      </c>
      <c r="Y56" s="177">
        <f t="shared" si="16"/>
        <v>12.465289952271361</v>
      </c>
      <c r="Z56" s="177">
        <f t="shared" si="16"/>
        <v>11.724394736950639</v>
      </c>
    </row>
    <row r="57" spans="1:26" ht="15" customHeight="1" x14ac:dyDescent="0.2">
      <c r="A57" s="306"/>
      <c r="C57" s="47" t="s">
        <v>9</v>
      </c>
      <c r="D57" s="27"/>
      <c r="E57" s="122"/>
      <c r="F57" s="122"/>
      <c r="G57" s="41">
        <f>Projections!D12</f>
        <v>12.634965306609928</v>
      </c>
      <c r="H57" s="41">
        <f>Projections!E12</f>
        <v>12.634965306609928</v>
      </c>
      <c r="I57" s="41">
        <f>Projections!F12</f>
        <v>12.634965306609928</v>
      </c>
      <c r="J57" s="41">
        <f>Projections!G12</f>
        <v>12.634965306609928</v>
      </c>
      <c r="K57" s="41">
        <f>Projections!H12</f>
        <v>12.634965306609928</v>
      </c>
      <c r="L57" s="41">
        <f>Projections!I12</f>
        <v>12.634965306609928</v>
      </c>
      <c r="M57" s="41">
        <f>Projections!J12</f>
        <v>12.634965306609928</v>
      </c>
      <c r="N57" s="41">
        <f>Projections!K12</f>
        <v>12.634965306609928</v>
      </c>
      <c r="O57" s="41">
        <f>Projections!L12</f>
        <v>12.634965306609928</v>
      </c>
      <c r="P57" s="41">
        <f>Projections!M12</f>
        <v>12.634965306609928</v>
      </c>
      <c r="Q57" s="41">
        <f>Projections!N12</f>
        <v>12.634965306609928</v>
      </c>
      <c r="R57" s="41">
        <f>Projections!O12</f>
        <v>12.634965306609928</v>
      </c>
      <c r="S57" s="41">
        <f>Projections!P12</f>
        <v>12.634965306609928</v>
      </c>
      <c r="T57" s="41">
        <f>Projections!Q12</f>
        <v>12.634965306609928</v>
      </c>
      <c r="U57" s="41">
        <f>Projections!R12</f>
        <v>12.634965306609928</v>
      </c>
      <c r="V57" s="41">
        <f>Projections!S12</f>
        <v>12.634965306609928</v>
      </c>
      <c r="W57" s="41">
        <f>Projections!T12</f>
        <v>12.634965306609928</v>
      </c>
      <c r="X57" s="41">
        <f>Projections!U12</f>
        <v>5.9109508688191976</v>
      </c>
      <c r="Y57" s="41">
        <f>Projections!V12</f>
        <v>5.5907597051148645</v>
      </c>
      <c r="Z57" s="41">
        <f>Projections!W12</f>
        <v>5.5907597051148645</v>
      </c>
    </row>
    <row r="58" spans="1:26" ht="15" customHeight="1" x14ac:dyDescent="0.2">
      <c r="A58" s="306"/>
      <c r="C58" s="47" t="s">
        <v>17</v>
      </c>
      <c r="D58" s="27"/>
      <c r="E58" s="122"/>
      <c r="F58" s="122"/>
      <c r="G58" s="41"/>
      <c r="H58" s="29"/>
      <c r="I58" s="29"/>
      <c r="J58" s="29"/>
      <c r="K58" s="29"/>
      <c r="L58" s="29"/>
      <c r="M58" s="29"/>
      <c r="N58" s="29"/>
      <c r="O58" s="29"/>
      <c r="P58" s="29"/>
      <c r="Q58" s="29"/>
      <c r="R58" s="29"/>
      <c r="S58" s="29"/>
      <c r="T58" s="29"/>
      <c r="U58" s="29"/>
      <c r="V58" s="29"/>
      <c r="W58" s="29"/>
      <c r="Y58" s="29"/>
      <c r="Z58" s="29">
        <f>Assumptions!C96</f>
        <v>68.914119508582331</v>
      </c>
    </row>
    <row r="59" spans="1:26" ht="15" customHeight="1" x14ac:dyDescent="0.2">
      <c r="A59" s="306"/>
      <c r="C59" s="47" t="s">
        <v>18</v>
      </c>
      <c r="D59" s="27"/>
      <c r="E59" s="122"/>
      <c r="F59" s="122"/>
      <c r="G59" s="41">
        <f>IF(Projections!D29&lt;0,-(Projections!D29*33.99%),0)</f>
        <v>0</v>
      </c>
      <c r="H59" s="29">
        <f>IF(Projections!E29&lt;0,-(Projections!E29*33.99%),0)</f>
        <v>0</v>
      </c>
      <c r="I59" s="29">
        <f>IF(Projections!F29&lt;0,-(Projections!F29*33.99%),0)</f>
        <v>0</v>
      </c>
      <c r="J59" s="29">
        <f>IF(Projections!G29&lt;0,-(Projections!G29*33.99%),0)</f>
        <v>0</v>
      </c>
      <c r="K59" s="29">
        <f>IF(Projections!H29&lt;0,-(Projections!H29*33.99%),0)</f>
        <v>0</v>
      </c>
      <c r="L59" s="29">
        <f>IF(Projections!I29&lt;0,-(Projections!I29*33.99%),0)</f>
        <v>0</v>
      </c>
      <c r="M59" s="29">
        <f>IF(Projections!J29&lt;0,-(Projections!J29*33.99%),0)</f>
        <v>0</v>
      </c>
      <c r="N59" s="29">
        <f>IF(Projections!K29&lt;0,-(Projections!K29*33.99%),0)</f>
        <v>0</v>
      </c>
      <c r="O59" s="29">
        <f>IF(Projections!L29&lt;0,-(Projections!L29*33.99%),0)</f>
        <v>0</v>
      </c>
      <c r="P59" s="29">
        <f>IF(Projections!M29&lt;0,-(Projections!M29*33.99%),0)</f>
        <v>0</v>
      </c>
      <c r="Q59" s="29">
        <f>IF(Projections!N29&lt;0,-(Projections!N29*33.99%),0)</f>
        <v>0</v>
      </c>
      <c r="R59" s="29">
        <f>IF(Projections!O29&lt;0,-(Projections!O29*33.99%),0)</f>
        <v>0</v>
      </c>
      <c r="S59" s="29">
        <f>IF(Projections!P29&lt;0,-(Projections!P29*33.99%),0)</f>
        <v>0</v>
      </c>
      <c r="T59" s="29">
        <f>IF(Projections!Q29&lt;0,-(Projections!Q29*33.99%),0)</f>
        <v>0</v>
      </c>
      <c r="U59" s="29">
        <f>IF(Projections!R29&lt;0,-(Projections!R29*33.99%),0)</f>
        <v>0</v>
      </c>
      <c r="V59" s="29">
        <f>IF(Projections!S29&lt;0,-(Projections!S29*33.99%),0)</f>
        <v>0</v>
      </c>
      <c r="W59" s="29">
        <f>IF(Projections!T29&lt;0,-(Projections!T29*33.99%),0)</f>
        <v>0</v>
      </c>
      <c r="X59" s="29">
        <f>IF(Projections!U29&lt;0,-(Projections!U29*33.99%),0)</f>
        <v>0</v>
      </c>
      <c r="Y59" s="29">
        <f>IF(Projections!V29&lt;0,-(Projections!V29*33.99%),0)</f>
        <v>0</v>
      </c>
      <c r="Z59" s="29">
        <f>IF(Projections!W29&lt;0,-(Projections!W29*33.99%),0)</f>
        <v>0</v>
      </c>
    </row>
    <row r="60" spans="1:26" ht="15" customHeight="1" x14ac:dyDescent="0.2">
      <c r="A60" s="306"/>
      <c r="C60" s="42" t="s">
        <v>172</v>
      </c>
      <c r="D60" s="121">
        <f t="shared" ref="D60:F60" si="17">SUM(D56:D59)</f>
        <v>0</v>
      </c>
      <c r="E60" s="121">
        <f t="shared" si="17"/>
        <v>0</v>
      </c>
      <c r="F60" s="121">
        <f t="shared" si="17"/>
        <v>0</v>
      </c>
      <c r="G60" s="121">
        <f>SUM(G56:G59)</f>
        <v>22.167426128521999</v>
      </c>
      <c r="H60" s="121">
        <f t="shared" ref="H60:Z60" si="18">SUM(H56:H59)</f>
        <v>24.520238036521995</v>
      </c>
      <c r="I60" s="121">
        <f t="shared" si="18"/>
        <v>26.158821403921991</v>
      </c>
      <c r="J60" s="121">
        <f t="shared" si="18"/>
        <v>27.778264803691989</v>
      </c>
      <c r="K60" s="121">
        <f t="shared" si="18"/>
        <v>29.377611237450488</v>
      </c>
      <c r="L60" s="121">
        <f t="shared" si="18"/>
        <v>30.95585585689691</v>
      </c>
      <c r="M60" s="121">
        <f t="shared" si="18"/>
        <v>32.511943571315655</v>
      </c>
      <c r="N60" s="121">
        <f t="shared" si="18"/>
        <v>34.044766535455338</v>
      </c>
      <c r="O60" s="121">
        <f t="shared" si="18"/>
        <v>36.053908431802014</v>
      </c>
      <c r="P60" s="121">
        <f t="shared" si="18"/>
        <v>35.515271300966013</v>
      </c>
      <c r="Q60" s="121">
        <f t="shared" si="18"/>
        <v>34.949702313588219</v>
      </c>
      <c r="R60" s="121">
        <f t="shared" si="18"/>
        <v>34.355854876841526</v>
      </c>
      <c r="S60" s="121">
        <f t="shared" si="18"/>
        <v>28.362659554657498</v>
      </c>
      <c r="T60" s="121">
        <f t="shared" si="18"/>
        <v>27.707942755644275</v>
      </c>
      <c r="U60" s="121">
        <f t="shared" si="18"/>
        <v>27.020490116680385</v>
      </c>
      <c r="V60" s="121">
        <f t="shared" si="18"/>
        <v>26.298664845768307</v>
      </c>
      <c r="W60" s="121">
        <f t="shared" si="18"/>
        <v>22.015675433524585</v>
      </c>
      <c r="X60" s="121">
        <f t="shared" si="18"/>
        <v>18.76166414816786</v>
      </c>
      <c r="Y60" s="121">
        <f t="shared" si="18"/>
        <v>18.056049657386225</v>
      </c>
      <c r="Z60" s="121">
        <f t="shared" si="18"/>
        <v>86.229273950647837</v>
      </c>
    </row>
    <row r="61" spans="1:26" ht="15" customHeight="1" x14ac:dyDescent="0.2">
      <c r="A61" s="306"/>
      <c r="C61" s="42"/>
      <c r="D61" s="48"/>
      <c r="E61" s="161"/>
      <c r="F61" s="161"/>
      <c r="G61" s="162"/>
      <c r="H61" s="162"/>
      <c r="I61" s="162"/>
      <c r="J61" s="162"/>
      <c r="K61" s="162"/>
      <c r="L61" s="162"/>
      <c r="M61" s="162"/>
      <c r="N61" s="162"/>
      <c r="O61" s="162"/>
      <c r="P61" s="162"/>
      <c r="Q61" s="162"/>
      <c r="R61" s="162"/>
      <c r="S61" s="162"/>
      <c r="T61" s="162"/>
      <c r="U61" s="162"/>
      <c r="V61" s="162"/>
      <c r="W61" s="162"/>
      <c r="X61" s="162"/>
      <c r="Y61" s="162"/>
      <c r="Z61" s="162"/>
    </row>
    <row r="62" spans="1:26" ht="15" customHeight="1" x14ac:dyDescent="0.2">
      <c r="A62" s="306"/>
      <c r="C62" s="42" t="s">
        <v>173</v>
      </c>
      <c r="D62" s="162">
        <f>D53</f>
        <v>-30.080099999999998</v>
      </c>
      <c r="E62" s="162">
        <f t="shared" ref="E62:F62" si="19">E53</f>
        <v>-30.080099999999998</v>
      </c>
      <c r="F62" s="162">
        <f t="shared" si="19"/>
        <v>-30.080099999999998</v>
      </c>
      <c r="G62" s="162">
        <f>G60-G53</f>
        <v>-27.888643871478006</v>
      </c>
      <c r="H62" s="162">
        <f t="shared" ref="H62:Z62" si="20">H60-H53</f>
        <v>3.4641680365219969</v>
      </c>
      <c r="I62" s="162">
        <f t="shared" si="20"/>
        <v>5.1027514039219923</v>
      </c>
      <c r="J62" s="162">
        <f t="shared" si="20"/>
        <v>6.7221948036919912</v>
      </c>
      <c r="K62" s="162">
        <f t="shared" si="20"/>
        <v>8.3215412374504893</v>
      </c>
      <c r="L62" s="162">
        <f t="shared" si="20"/>
        <v>9.8997858568969122</v>
      </c>
      <c r="M62" s="162">
        <f t="shared" si="20"/>
        <v>11.455873571315657</v>
      </c>
      <c r="N62" s="162">
        <f t="shared" si="20"/>
        <v>20.932626535455256</v>
      </c>
      <c r="O62" s="162">
        <f t="shared" si="20"/>
        <v>36.053908431802014</v>
      </c>
      <c r="P62" s="162">
        <f t="shared" si="20"/>
        <v>35.515271300966013</v>
      </c>
      <c r="Q62" s="162">
        <f t="shared" si="20"/>
        <v>34.949702313588219</v>
      </c>
      <c r="R62" s="162">
        <f t="shared" si="20"/>
        <v>34.355854876841526</v>
      </c>
      <c r="S62" s="162">
        <f t="shared" si="20"/>
        <v>28.362659554657498</v>
      </c>
      <c r="T62" s="162">
        <f t="shared" si="20"/>
        <v>27.707942755644275</v>
      </c>
      <c r="U62" s="162">
        <f t="shared" si="20"/>
        <v>27.020490116680385</v>
      </c>
      <c r="V62" s="162">
        <f t="shared" si="20"/>
        <v>26.298664845768307</v>
      </c>
      <c r="W62" s="162">
        <f t="shared" si="20"/>
        <v>22.015675433524585</v>
      </c>
      <c r="X62" s="162">
        <f t="shared" si="20"/>
        <v>18.76166414816786</v>
      </c>
      <c r="Y62" s="162">
        <f t="shared" si="20"/>
        <v>18.056049657386225</v>
      </c>
      <c r="Z62" s="162">
        <f t="shared" si="20"/>
        <v>86.229273950647837</v>
      </c>
    </row>
    <row r="63" spans="1:26" ht="15" customHeight="1" x14ac:dyDescent="0.2">
      <c r="A63" s="306"/>
      <c r="C63" s="42"/>
      <c r="D63" s="48"/>
      <c r="E63" s="161"/>
      <c r="F63" s="161"/>
      <c r="G63" s="162"/>
      <c r="H63" s="162"/>
      <c r="I63" s="162"/>
      <c r="J63" s="162"/>
      <c r="K63" s="162"/>
      <c r="L63" s="162"/>
      <c r="M63" s="162"/>
      <c r="N63" s="162"/>
      <c r="O63" s="162"/>
      <c r="P63" s="162"/>
      <c r="Q63" s="162"/>
      <c r="R63" s="162"/>
      <c r="S63" s="162"/>
      <c r="T63" s="162"/>
      <c r="U63" s="162"/>
      <c r="V63" s="162"/>
      <c r="W63" s="162"/>
      <c r="X63" s="162"/>
      <c r="Y63" s="162"/>
      <c r="Z63" s="162"/>
    </row>
    <row r="64" spans="1:26" ht="15" customHeight="1" x14ac:dyDescent="0.2">
      <c r="A64" s="306"/>
      <c r="C64" s="52" t="s">
        <v>113</v>
      </c>
      <c r="D64" s="49">
        <f>IRR(D62:Z62)</f>
        <v>0.11132121946880202</v>
      </c>
      <c r="E64" s="125"/>
      <c r="F64" s="125"/>
      <c r="G64" s="124"/>
      <c r="H64" s="43"/>
      <c r="I64" s="44"/>
      <c r="J64" s="44"/>
      <c r="K64" s="44"/>
      <c r="L64" s="44"/>
      <c r="M64" s="44"/>
      <c r="N64" s="44"/>
      <c r="O64" s="44"/>
      <c r="P64" s="44"/>
      <c r="Q64" s="44"/>
      <c r="R64" s="44"/>
      <c r="S64" s="44"/>
      <c r="T64" s="44"/>
      <c r="U64" s="44"/>
      <c r="V64" s="44"/>
      <c r="W64" s="44"/>
      <c r="X64" s="44"/>
      <c r="Y64" s="44"/>
      <c r="Z64" s="44"/>
    </row>
    <row r="66" spans="5:5" ht="15" customHeight="1" x14ac:dyDescent="0.2">
      <c r="E66" s="45"/>
    </row>
  </sheetData>
  <customSheetViews>
    <customSheetView guid="{2D20C0F7-1037-4A18-A61E-F564F28214BE}" showPageBreaks="1" printArea="1">
      <pane xSplit="3" ySplit="3" topLeftCell="D13" activePane="bottomRight" state="frozen"/>
      <selection pane="bottomRight" activeCell="D13" sqref="D13"/>
      <pageMargins left="0.48" right="0" top="0.43307086614173229" bottom="0.39370078740157483" header="0.35433070866141736" footer="0.31496062992125984"/>
      <printOptions horizontalCentered="1" verticalCentered="1"/>
      <pageSetup paperSize="9" scale="95" orientation="landscape" horizontalDpi="4294967294" verticalDpi="300" r:id="rId1"/>
      <headerFooter alignWithMargins="0">
        <oddFooter>&amp;L&amp;B Confidential&amp;B&amp;C&amp;D&amp;RPage &amp;P</oddFooter>
      </headerFooter>
    </customSheetView>
    <customSheetView guid="{2CEDD2B9-1453-441E-94CE-79524362E6A4}">
      <pane xSplit="3" ySplit="3" topLeftCell="D4" activePane="bottomRight" state="frozen"/>
      <selection pane="bottomRight" activeCell="B8" sqref="B8"/>
      <pageMargins left="0.48" right="0" top="0.43307086614173229" bottom="0.39370078740157483" header="0.35433070866141736" footer="0.31496062992125984"/>
      <printOptions horizontalCentered="1" verticalCentered="1"/>
      <pageSetup paperSize="9" scale="95" orientation="landscape" horizontalDpi="4294967294" verticalDpi="300" r:id="rId2"/>
      <headerFooter alignWithMargins="0">
        <oddFooter>&amp;L&amp;B Confidential&amp;B&amp;C&amp;D&amp;RPage &amp;P</oddFooter>
      </headerFooter>
    </customSheetView>
    <customSheetView guid="{8AF19479-4C16-465C-826A-BA33DB0C519F}" showPageBreaks="1" printArea="1">
      <pane xSplit="3" ySplit="3" topLeftCell="D40" activePane="bottomRight" state="frozen"/>
      <selection pane="bottomRight" activeCell="D52" sqref="D52"/>
      <pageMargins left="0.48" right="0" top="0.43307086614173229" bottom="0.39370078740157483" header="0.35433070866141736" footer="0.31496062992125984"/>
      <printOptions horizontalCentered="1" verticalCentered="1"/>
      <pageSetup paperSize="9" scale="95" orientation="landscape" horizontalDpi="4294967294" verticalDpi="300" r:id="rId3"/>
      <headerFooter alignWithMargins="0">
        <oddFooter>&amp;L&amp;B Confidential&amp;B&amp;C&amp;D&amp;RPage &amp;P</oddFooter>
      </headerFooter>
    </customSheetView>
    <customSheetView guid="{08E761ED-2884-4595-B653-336056D2CEBA}">
      <pane xSplit="3" ySplit="3" topLeftCell="D49" activePane="bottomRight" state="frozen"/>
      <selection pane="bottomRight" activeCell="G13" sqref="G13:W13"/>
      <pageMargins left="0.48" right="0" top="0.43307086614173229" bottom="0.39370078740157483" header="0.35433070866141736" footer="0.31496062992125984"/>
      <printOptions horizontalCentered="1" verticalCentered="1"/>
      <pageSetup paperSize="9" scale="95" orientation="landscape" horizontalDpi="4294967294" verticalDpi="300" r:id="rId4"/>
      <headerFooter alignWithMargins="0">
        <oddFooter>&amp;L&amp;B Confidential&amp;B&amp;C&amp;D&amp;RPage &amp;P</oddFooter>
      </headerFooter>
    </customSheetView>
    <customSheetView guid="{5BE2AE54-87B0-4624-BD31-BF8894FF4897}">
      <pane xSplit="3" ySplit="3" topLeftCell="D4" activePane="bottomRight" state="frozen"/>
      <selection pane="bottomRight" activeCell="D3" sqref="D3"/>
      <pageMargins left="0.48" right="0" top="0.43307086614173229" bottom="0.39370078740157483" header="0.35433070866141736" footer="0.31496062992125984"/>
      <printOptions horizontalCentered="1" verticalCentered="1"/>
      <pageSetup paperSize="9" scale="95" orientation="landscape" horizontalDpi="4294967294" verticalDpi="300" r:id="rId5"/>
      <headerFooter alignWithMargins="0">
        <oddFooter>&amp;L&amp;B Confidential&amp;B&amp;C&amp;D&amp;RPage &amp;P</oddFooter>
      </headerFooter>
    </customSheetView>
    <customSheetView guid="{9150F2CC-AF3D-4623-895A-4254A73DAA6F}">
      <pane xSplit="3" ySplit="3" topLeftCell="D4" activePane="bottomRight" state="frozen"/>
      <selection pane="bottomRight" activeCell="D3" sqref="D3"/>
      <pageMargins left="0.48" right="0" top="0.43307086614173229" bottom="0.39370078740157483" header="0.35433070866141736" footer="0.31496062992125984"/>
      <printOptions horizontalCentered="1" verticalCentered="1"/>
      <pageSetup paperSize="9" scale="95" orientation="landscape" horizontalDpi="4294967294" verticalDpi="300" r:id="rId6"/>
      <headerFooter alignWithMargins="0">
        <oddFooter>&amp;L&amp;B Confidential&amp;B&amp;C&amp;D&amp;RPage &amp;P</oddFooter>
      </headerFooter>
    </customSheetView>
    <customSheetView guid="{C3E62452-AD71-4E68-89BB-05B3368381D4}" showPageBreaks="1" printArea="1">
      <pane xSplit="3" ySplit="2" topLeftCell="D3" activePane="bottomRight" state="frozen"/>
      <selection pane="bottomRight" activeCell="D4" sqref="D4"/>
      <pageMargins left="0.48" right="0" top="0.43307086614173229" bottom="0.39370078740157483" header="0.35433070866141736" footer="0.31496062992125984"/>
      <printOptions horizontalCentered="1" verticalCentered="1"/>
      <pageSetup paperSize="9" scale="95" orientation="landscape" horizontalDpi="4294967294" verticalDpi="300" r:id="rId7"/>
      <headerFooter alignWithMargins="0">
        <oddFooter>&amp;L&amp;B Confidential&amp;B&amp;C&amp;D&amp;RPage &amp;P</oddFooter>
      </headerFooter>
    </customSheetView>
    <customSheetView guid="{8BF9B530-CAE5-4243-B03F-ABECCF1738B4}" showPageBreaks="1" printArea="1">
      <pane xSplit="3" ySplit="3" topLeftCell="D4" activePane="bottomRight" state="frozen"/>
      <selection pane="bottomRight" activeCell="D17" sqref="D17"/>
      <pageMargins left="0.48" right="0" top="0.43307086614173229" bottom="0.39370078740157483" header="0.35433070866141736" footer="0.31496062992125984"/>
      <printOptions horizontalCentered="1" verticalCentered="1"/>
      <pageSetup paperSize="9" scale="95" orientation="landscape" horizontalDpi="4294967294" verticalDpi="300" r:id="rId8"/>
      <headerFooter alignWithMargins="0">
        <oddFooter>&amp;L&amp;B Confidential&amp;B&amp;C&amp;D&amp;RPage &amp;P</oddFooter>
      </headerFooter>
    </customSheetView>
    <customSheetView guid="{A7C9A8E3-662B-468C-AF84-34E30A75F371}">
      <pane xSplit="3" ySplit="3" topLeftCell="H4" activePane="bottomRight" state="frozen"/>
      <selection pane="bottomRight" activeCell="S5" sqref="S5"/>
      <pageMargins left="0.48" right="0" top="0.43307086614173229" bottom="0.39370078740157483" header="0.35433070866141736" footer="0.31496062992125984"/>
      <printOptions horizontalCentered="1" verticalCentered="1"/>
      <pageSetup paperSize="9" scale="95" orientation="landscape" horizontalDpi="4294967294" verticalDpi="300" r:id="rId9"/>
      <headerFooter alignWithMargins="0">
        <oddFooter>&amp;L&amp;B Confidential&amp;B&amp;C&amp;D&amp;RPage &amp;P</oddFooter>
      </headerFooter>
    </customSheetView>
    <customSheetView guid="{86F6B4CD-A0C4-48C6-AD6C-F37B6D55AA0C}" showPageBreaks="1" printArea="1">
      <pane xSplit="3" ySplit="3" topLeftCell="J25" activePane="bottomRight" state="frozen"/>
      <selection pane="bottomRight" activeCell="N10" sqref="N10"/>
      <pageMargins left="0.48" right="0" top="0.43307086614173229" bottom="0.39370078740157483" header="0.35433070866141736" footer="0.31496062992125984"/>
      <printOptions horizontalCentered="1" verticalCentered="1"/>
      <pageSetup paperSize="9" scale="95" orientation="landscape" horizontalDpi="4294967294" verticalDpi="300" r:id="rId10"/>
      <headerFooter alignWithMargins="0">
        <oddFooter>&amp;L&amp;B Confidential&amp;B&amp;C&amp;D&amp;RPage &amp;P</oddFooter>
      </headerFooter>
    </customSheetView>
    <customSheetView guid="{83D67E10-79C1-4AD7-9ED8-F6E10CA6D44A}">
      <pane xSplit="3" ySplit="3" topLeftCell="M43" activePane="bottomRight" state="frozen"/>
      <selection pane="bottomRight" activeCell="Z58" sqref="Z58"/>
      <pageMargins left="0.48" right="0" top="0.43307086614173229" bottom="0.39370078740157483" header="0.35433070866141736" footer="0.31496062992125984"/>
      <printOptions horizontalCentered="1" verticalCentered="1"/>
      <pageSetup paperSize="9" scale="95" orientation="landscape" horizontalDpi="4294967294" verticalDpi="300" r:id="rId11"/>
      <headerFooter alignWithMargins="0">
        <oddFooter>&amp;L&amp;B Confidential&amp;B&amp;C&amp;D&amp;RPage &amp;P</oddFooter>
      </headerFooter>
    </customSheetView>
  </customSheetViews>
  <mergeCells count="3">
    <mergeCell ref="A2:A20"/>
    <mergeCell ref="A23:A45"/>
    <mergeCell ref="A49:A64"/>
  </mergeCells>
  <phoneticPr fontId="0" type="noConversion"/>
  <printOptions horizontalCentered="1" verticalCentered="1"/>
  <pageMargins left="0.48" right="0" top="0.43307086614173229" bottom="0.39370078740157483" header="0.35433070866141736" footer="0.31496062992125984"/>
  <pageSetup paperSize="9" scale="95" orientation="landscape" horizontalDpi="4294967294" verticalDpi="300" r:id="rId12"/>
  <headerFooter alignWithMargins="0">
    <oddFooter>&amp;L&amp;B Confidential&amp;B&amp;C&amp;D&amp;RPage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3"/>
  <sheetViews>
    <sheetView workbookViewId="0">
      <selection activeCell="C7" sqref="C7"/>
    </sheetView>
  </sheetViews>
  <sheetFormatPr defaultRowHeight="12" x14ac:dyDescent="0.2"/>
  <cols>
    <col min="1" max="1" width="9.140625" style="226"/>
    <col min="2" max="2" width="20.7109375" style="226" customWidth="1"/>
    <col min="3" max="3" width="10.140625" style="226" customWidth="1"/>
    <col min="4" max="4" width="80.5703125" style="226" customWidth="1"/>
    <col min="5" max="5" width="1.5703125" style="226" customWidth="1"/>
    <col min="6" max="11" width="9.140625" style="226" customWidth="1"/>
    <col min="12" max="16384" width="9.140625" style="226"/>
  </cols>
  <sheetData>
    <row r="2" spans="2:11" x14ac:dyDescent="0.2">
      <c r="B2" s="227" t="s">
        <v>201</v>
      </c>
      <c r="C2" s="227"/>
      <c r="D2" s="227"/>
      <c r="E2" s="227"/>
      <c r="F2" s="227"/>
      <c r="G2" s="227"/>
      <c r="H2" s="227"/>
      <c r="I2" s="227"/>
      <c r="J2" s="227"/>
      <c r="K2" s="227"/>
    </row>
    <row r="3" spans="2:11" x14ac:dyDescent="0.2">
      <c r="B3" s="227"/>
      <c r="C3" s="227"/>
      <c r="D3" s="227"/>
      <c r="E3" s="227"/>
      <c r="F3" s="227"/>
      <c r="G3" s="227"/>
      <c r="H3" s="227"/>
      <c r="I3" s="227"/>
      <c r="J3" s="227"/>
      <c r="K3" s="227"/>
    </row>
    <row r="4" spans="2:11" ht="42.75" customHeight="1" x14ac:dyDescent="0.2">
      <c r="B4" s="307" t="s">
        <v>203</v>
      </c>
      <c r="C4" s="307"/>
      <c r="D4" s="307"/>
      <c r="E4" s="307"/>
      <c r="F4" s="307"/>
      <c r="G4" s="307"/>
      <c r="H4" s="307"/>
      <c r="I4" s="307"/>
      <c r="J4" s="307"/>
      <c r="K4" s="307"/>
    </row>
    <row r="5" spans="2:11" x14ac:dyDescent="0.2">
      <c r="B5" s="228"/>
      <c r="C5" s="228"/>
      <c r="D5" s="238" t="s">
        <v>80</v>
      </c>
    </row>
    <row r="6" spans="2:11" ht="23.25" customHeight="1" x14ac:dyDescent="0.2">
      <c r="B6" s="229" t="s">
        <v>76</v>
      </c>
      <c r="C6" s="230">
        <v>0.111</v>
      </c>
      <c r="D6" s="236" t="s">
        <v>202</v>
      </c>
    </row>
    <row r="7" spans="2:11" s="233" customFormat="1" ht="69" customHeight="1" x14ac:dyDescent="0.2">
      <c r="B7" s="231" t="s">
        <v>79</v>
      </c>
      <c r="C7" s="232">
        <v>0.06</v>
      </c>
      <c r="D7" s="237" t="s">
        <v>209</v>
      </c>
    </row>
    <row r="8" spans="2:11" ht="29.25" customHeight="1" x14ac:dyDescent="0.2">
      <c r="B8" s="231" t="s">
        <v>77</v>
      </c>
      <c r="C8" s="234">
        <f>+((1+C6)*(1+C7))-1</f>
        <v>0.17766000000000015</v>
      </c>
      <c r="D8" s="237" t="s">
        <v>78</v>
      </c>
    </row>
    <row r="13" spans="2:11" ht="12.75" x14ac:dyDescent="0.2">
      <c r="C13" s="235"/>
      <c r="D13" s="235"/>
    </row>
  </sheetData>
  <customSheetViews>
    <customSheetView guid="{2D20C0F7-1037-4A18-A61E-F564F28214BE}">
      <selection activeCell="C8" sqref="C8"/>
      <pageMargins left="0.7" right="0.7" top="0.75" bottom="0.75" header="0.3" footer="0.3"/>
      <pageSetup paperSize="9" orientation="portrait" verticalDpi="0" r:id="rId1"/>
    </customSheetView>
    <customSheetView guid="{2CEDD2B9-1453-441E-94CE-79524362E6A4}">
      <selection activeCell="D17" sqref="D17"/>
      <pageMargins left="0.7" right="0.7" top="0.75" bottom="0.75" header="0.3" footer="0.3"/>
      <pageSetup paperSize="9" orientation="portrait" verticalDpi="0" r:id="rId2"/>
    </customSheetView>
    <customSheetView guid="{8AF19479-4C16-465C-826A-BA33DB0C519F}">
      <selection activeCell="D8" sqref="D8"/>
      <pageMargins left="0.7" right="0.7" top="0.75" bottom="0.75" header="0.3" footer="0.3"/>
      <pageSetup paperSize="9" orientation="portrait" verticalDpi="0" r:id="rId3"/>
    </customSheetView>
    <customSheetView guid="{08E761ED-2884-4595-B653-336056D2CEBA}">
      <selection activeCell="D7" sqref="D7:H7"/>
      <pageMargins left="0.7" right="0.7" top="0.75" bottom="0.75" header="0.3" footer="0.3"/>
      <pageSetup paperSize="9" orientation="portrait" verticalDpi="0" r:id="rId4"/>
    </customSheetView>
    <customSheetView guid="{5BE2AE54-87B0-4624-BD31-BF8894FF4897}">
      <selection activeCell="D7" sqref="D7:H7"/>
      <pageMargins left="0.7" right="0.7" top="0.75" bottom="0.75" header="0.3" footer="0.3"/>
      <pageSetup paperSize="9" orientation="portrait" verticalDpi="0" r:id="rId5"/>
    </customSheetView>
    <customSheetView guid="{9150F2CC-AF3D-4623-895A-4254A73DAA6F}">
      <selection activeCell="D7" sqref="D7:H7"/>
      <pageMargins left="0.7" right="0.7" top="0.75" bottom="0.75" header="0.3" footer="0.3"/>
      <pageSetup paperSize="9" orientation="portrait" verticalDpi="0" r:id="rId6"/>
    </customSheetView>
    <customSheetView guid="{C3E62452-AD71-4E68-89BB-05B3368381D4}">
      <selection activeCell="C8" sqref="C8"/>
      <pageMargins left="0.7" right="0.7" top="0.75" bottom="0.75" header="0.3" footer="0.3"/>
      <pageSetup paperSize="9" orientation="portrait" verticalDpi="0" r:id="rId7"/>
    </customSheetView>
    <customSheetView guid="{8BF9B530-CAE5-4243-B03F-ABECCF1738B4}">
      <selection activeCell="D16" sqref="D16"/>
      <pageMargins left="0.7" right="0.7" top="0.75" bottom="0.75" header="0.3" footer="0.3"/>
      <pageSetup paperSize="9" orientation="portrait" verticalDpi="0" r:id="rId8"/>
    </customSheetView>
    <customSheetView guid="{A7C9A8E3-662B-468C-AF84-34E30A75F371}">
      <selection activeCell="D8" sqref="D8"/>
      <pageMargins left="0.7" right="0.7" top="0.75" bottom="0.75" header="0.3" footer="0.3"/>
      <pageSetup paperSize="9" orientation="portrait" verticalDpi="0" r:id="rId9"/>
    </customSheetView>
    <customSheetView guid="{86F6B4CD-A0C4-48C6-AD6C-F37B6D55AA0C}">
      <selection activeCell="C7" sqref="C7"/>
      <pageMargins left="0.7" right="0.7" top="0.75" bottom="0.75" header="0.3" footer="0.3"/>
      <pageSetup paperSize="9" orientation="portrait" verticalDpi="0" r:id="rId10"/>
    </customSheetView>
    <customSheetView guid="{83D67E10-79C1-4AD7-9ED8-F6E10CA6D44A}">
      <selection activeCell="C7" sqref="C7"/>
      <pageMargins left="0.7" right="0.7" top="0.75" bottom="0.75" header="0.3" footer="0.3"/>
      <pageSetup paperSize="9" orientation="portrait" verticalDpi="0" r:id="rId11"/>
    </customSheetView>
  </customSheetViews>
  <mergeCells count="1">
    <mergeCell ref="B4:K4"/>
  </mergeCells>
  <pageMargins left="0.7" right="0.7" top="0.75" bottom="0.75" header="0.3" footer="0.3"/>
  <pageSetup paperSize="9" orientation="portrait" verticalDpi="0"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Assumptions</vt:lpstr>
      <vt:lpstr>Projections</vt:lpstr>
      <vt:lpstr>Benchmark</vt:lpstr>
      <vt:lpstr>Assumptions!Print_Area</vt:lpstr>
      <vt:lpstr>Projections!Print_Area</vt:lpstr>
      <vt:lpstr>Projections!Print_Titles</vt:lpstr>
    </vt:vector>
  </TitlesOfParts>
  <Company>Enercon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DIXIT</dc:creator>
  <cp:lastModifiedBy>A</cp:lastModifiedBy>
  <cp:lastPrinted>2003-06-06T17:50:47Z</cp:lastPrinted>
  <dcterms:created xsi:type="dcterms:W3CDTF">2000-12-16T06:48:30Z</dcterms:created>
  <dcterms:modified xsi:type="dcterms:W3CDTF">2016-06-09T08:35:45Z</dcterms:modified>
</cp:coreProperties>
</file>