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50" yWindow="75" windowWidth="9855" windowHeight="6180" tabRatio="877" activeTab="5"/>
  </bookViews>
  <sheets>
    <sheet name="Basic Parameters" sheetId="1" r:id="rId1"/>
    <sheet name="Total Cost &amp; Expenses" sheetId="2" r:id="rId2"/>
    <sheet name="Loan &amp; Payment" sheetId="3" r:id="rId3"/>
    <sheet name="Profit &amp; Loss" sheetId="4" r:id="rId4"/>
    <sheet name="Total investment Cashflow" sheetId="5" r:id="rId5"/>
    <sheet name="Sensitivity Analysis" sheetId="6" r:id="rId6"/>
  </sheets>
  <calcPr calcId="125725"/>
</workbook>
</file>

<file path=xl/calcChain.xml><?xml version="1.0" encoding="utf-8"?>
<calcChain xmlns="http://schemas.openxmlformats.org/spreadsheetml/2006/main">
  <c r="E12" i="1"/>
  <c r="E46" l="1"/>
  <c r="E13" l="1"/>
  <c r="X8" i="5"/>
  <c r="E16" i="1"/>
  <c r="D6" i="3" s="1"/>
  <c r="F13" i="2"/>
  <c r="E20" i="1"/>
  <c r="H11" i="3" s="1"/>
  <c r="H13" s="1"/>
  <c r="I9" i="2" s="1"/>
  <c r="E40" i="1"/>
  <c r="E7"/>
  <c r="E49" s="1"/>
  <c r="E8"/>
  <c r="E9" s="1"/>
  <c r="E38"/>
  <c r="D11" i="3"/>
  <c r="D13" s="1"/>
  <c r="E9" i="2" s="1"/>
  <c r="L11" i="3"/>
  <c r="L13" s="1"/>
  <c r="M9" i="2" s="1"/>
  <c r="T11" i="3"/>
  <c r="T13" s="1"/>
  <c r="U9" i="2" s="1"/>
  <c r="D17" i="3"/>
  <c r="E24" i="4"/>
  <c r="P8" i="6"/>
  <c r="P9"/>
  <c r="P10"/>
  <c r="P11"/>
  <c r="R8" i="2"/>
  <c r="S8"/>
  <c r="T8"/>
  <c r="U8"/>
  <c r="V8"/>
  <c r="W8"/>
  <c r="X8"/>
  <c r="E10"/>
  <c r="E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D6" i="5"/>
  <c r="D5" s="1"/>
  <c r="D13"/>
  <c r="D14"/>
  <c r="D15"/>
  <c r="D18"/>
  <c r="Q8" i="2"/>
  <c r="V6" i="4"/>
  <c r="V18" i="5" s="1"/>
  <c r="E17" i="1"/>
  <c r="T12" i="2"/>
  <c r="P11" i="3"/>
  <c r="P13" s="1"/>
  <c r="Q9" i="2" s="1"/>
  <c r="E11" i="3"/>
  <c r="E13" s="1"/>
  <c r="F9" i="2" s="1"/>
  <c r="G11" i="3"/>
  <c r="G13" s="1"/>
  <c r="H9" i="2" s="1"/>
  <c r="I11" i="3"/>
  <c r="I13" s="1"/>
  <c r="J9" i="2" s="1"/>
  <c r="K11" i="3"/>
  <c r="K13"/>
  <c r="L9" i="2" s="1"/>
  <c r="M11" i="3"/>
  <c r="M13" s="1"/>
  <c r="N9" i="2" s="1"/>
  <c r="O11" i="3"/>
  <c r="O13" s="1"/>
  <c r="P9" i="2" s="1"/>
  <c r="Q11" i="3"/>
  <c r="Q13" s="1"/>
  <c r="R9" i="2" s="1"/>
  <c r="S11" i="3"/>
  <c r="S13" s="1"/>
  <c r="T9" i="2" s="1"/>
  <c r="U11" i="3"/>
  <c r="U13" s="1"/>
  <c r="V9" i="2" s="1"/>
  <c r="W11" i="3"/>
  <c r="W13" s="1"/>
  <c r="X9" i="2" s="1"/>
  <c r="F11" i="3"/>
  <c r="F13" s="1"/>
  <c r="G9" i="2" s="1"/>
  <c r="J11" i="3"/>
  <c r="J13" s="1"/>
  <c r="K9" i="2" s="1"/>
  <c r="N11" i="3"/>
  <c r="N13" s="1"/>
  <c r="O9" i="2" s="1"/>
  <c r="R11" i="3"/>
  <c r="R13" s="1"/>
  <c r="S9" i="2" s="1"/>
  <c r="V11" i="3"/>
  <c r="V13" s="1"/>
  <c r="W9" i="2" s="1"/>
  <c r="E6" l="1"/>
  <c r="D8" i="3" s="1"/>
  <c r="G6" i="2"/>
  <c r="I6"/>
  <c r="H8" i="3" s="1"/>
  <c r="K6" i="2"/>
  <c r="M6"/>
  <c r="L8" i="3" s="1"/>
  <c r="O6" i="2"/>
  <c r="Q6"/>
  <c r="P8" i="3" s="1"/>
  <c r="S6" i="2"/>
  <c r="F6"/>
  <c r="H6"/>
  <c r="J6"/>
  <c r="I8" i="3" s="1"/>
  <c r="L6" i="2"/>
  <c r="N6"/>
  <c r="M8" i="3" s="1"/>
  <c r="P6" i="2"/>
  <c r="O8" i="3" s="1"/>
  <c r="R6" i="2"/>
  <c r="Q8" i="3" s="1"/>
  <c r="X7" i="5"/>
  <c r="X14" i="2"/>
  <c r="E11" i="1"/>
  <c r="U12" i="2"/>
  <c r="W6" i="4"/>
  <c r="W18" i="5" s="1"/>
  <c r="H15" i="2"/>
  <c r="I15"/>
  <c r="O15"/>
  <c r="R15"/>
  <c r="K6" i="4"/>
  <c r="X15" i="2"/>
  <c r="P6" i="4"/>
  <c r="P18" i="5" s="1"/>
  <c r="E15" i="2"/>
  <c r="K12"/>
  <c r="J6" i="4"/>
  <c r="J18" i="5" s="1"/>
  <c r="N12" i="2"/>
  <c r="S6" i="4"/>
  <c r="S18" i="5" s="1"/>
  <c r="H6" i="4"/>
  <c r="H18" i="5" s="1"/>
  <c r="L12" i="2"/>
  <c r="P15"/>
  <c r="L6" i="4"/>
  <c r="L18" i="5" s="1"/>
  <c r="U6" i="4"/>
  <c r="U18" i="5" s="1"/>
  <c r="M12" i="2"/>
  <c r="Q15"/>
  <c r="W15"/>
  <c r="S12"/>
  <c r="N6" i="4"/>
  <c r="N18" i="5" s="1"/>
  <c r="J15" i="2"/>
  <c r="F12"/>
  <c r="V12"/>
  <c r="E14"/>
  <c r="U14"/>
  <c r="W14"/>
  <c r="Q14"/>
  <c r="D11" i="5"/>
  <c r="D10" s="1"/>
  <c r="D16" s="1"/>
  <c r="D19" s="1"/>
  <c r="N14" i="2"/>
  <c r="F14"/>
  <c r="S14"/>
  <c r="I14"/>
  <c r="F8" i="3"/>
  <c r="V14" i="2"/>
  <c r="R8" i="3"/>
  <c r="H14" i="2"/>
  <c r="N8" i="3"/>
  <c r="G14" i="2"/>
  <c r="N7" i="4"/>
  <c r="T7"/>
  <c r="S7"/>
  <c r="S5" s="1"/>
  <c r="S6" i="5" s="1"/>
  <c r="R7" i="4"/>
  <c r="W7"/>
  <c r="I7"/>
  <c r="X7"/>
  <c r="U7"/>
  <c r="L7"/>
  <c r="Q7"/>
  <c r="G7"/>
  <c r="J7"/>
  <c r="J5" s="1"/>
  <c r="J6" i="5" s="1"/>
  <c r="K7" i="4"/>
  <c r="M7"/>
  <c r="F7"/>
  <c r="H7"/>
  <c r="O7"/>
  <c r="P7"/>
  <c r="V7"/>
  <c r="V5" s="1"/>
  <c r="V6" i="5" s="1"/>
  <c r="E7" i="4"/>
  <c r="I7" i="3"/>
  <c r="K7"/>
  <c r="F9"/>
  <c r="G8" i="2" s="1"/>
  <c r="H9" i="3"/>
  <c r="I8" i="2" s="1"/>
  <c r="L9" i="3"/>
  <c r="M8" i="2" s="1"/>
  <c r="D9" i="3"/>
  <c r="E9"/>
  <c r="F8" i="2" s="1"/>
  <c r="I9" i="3"/>
  <c r="J8" i="2" s="1"/>
  <c r="M9" i="3"/>
  <c r="N8" i="2" s="1"/>
  <c r="E7" i="3"/>
  <c r="J7"/>
  <c r="O7"/>
  <c r="H7"/>
  <c r="N7"/>
  <c r="J9"/>
  <c r="K8" i="2" s="1"/>
  <c r="N9" i="3"/>
  <c r="O8" i="2" s="1"/>
  <c r="L7" i="3"/>
  <c r="G9"/>
  <c r="H8" i="2" s="1"/>
  <c r="K9" i="3"/>
  <c r="L8" i="2" s="1"/>
  <c r="O9" i="3"/>
  <c r="P8" i="2" s="1"/>
  <c r="M7" i="3"/>
  <c r="G7"/>
  <c r="D7"/>
  <c r="E6" s="1"/>
  <c r="F7"/>
  <c r="L5" i="4"/>
  <c r="L6" i="5" s="1"/>
  <c r="E8" i="3"/>
  <c r="L14" i="2"/>
  <c r="K14"/>
  <c r="J14"/>
  <c r="M14"/>
  <c r="T14"/>
  <c r="H5" i="4"/>
  <c r="H6" i="5" s="1"/>
  <c r="G15" i="2"/>
  <c r="X6" i="4"/>
  <c r="M6"/>
  <c r="X12" i="2"/>
  <c r="P12"/>
  <c r="H12"/>
  <c r="T15"/>
  <c r="L15"/>
  <c r="R6" i="4"/>
  <c r="Q6"/>
  <c r="E12" i="2"/>
  <c r="Q12"/>
  <c r="I12"/>
  <c r="U15"/>
  <c r="M15"/>
  <c r="W5" i="4"/>
  <c r="W6" i="5" s="1"/>
  <c r="K15" i="2"/>
  <c r="S15"/>
  <c r="G12"/>
  <c r="O12"/>
  <c r="W12"/>
  <c r="E6" i="4"/>
  <c r="O6"/>
  <c r="F15" i="2"/>
  <c r="N15"/>
  <c r="V15"/>
  <c r="J12"/>
  <c r="R12"/>
  <c r="I6" i="4"/>
  <c r="G6"/>
  <c r="T6"/>
  <c r="E16" i="2"/>
  <c r="F16" s="1"/>
  <c r="G16" s="1"/>
  <c r="H16" s="1"/>
  <c r="G8" i="3"/>
  <c r="R14" i="2"/>
  <c r="O14"/>
  <c r="F6" i="4"/>
  <c r="J8" i="3"/>
  <c r="K8"/>
  <c r="P14" i="2"/>
  <c r="E8" l="1"/>
  <c r="E7" s="1"/>
  <c r="K5" i="4"/>
  <c r="K6" i="5" s="1"/>
  <c r="N5" i="4"/>
  <c r="N6" i="5" s="1"/>
  <c r="P5" i="4"/>
  <c r="P6" i="5" s="1"/>
  <c r="U5" i="4"/>
  <c r="U6" i="5" s="1"/>
  <c r="K18"/>
  <c r="G11" i="2"/>
  <c r="G13" i="5" s="1"/>
  <c r="F6" i="3"/>
  <c r="G6" s="1"/>
  <c r="H6" s="1"/>
  <c r="I6" s="1"/>
  <c r="J6" s="1"/>
  <c r="K6" s="1"/>
  <c r="L6" s="1"/>
  <c r="M6" s="1"/>
  <c r="N6" s="1"/>
  <c r="O6" s="1"/>
  <c r="G18" i="5"/>
  <c r="G5" i="4"/>
  <c r="G6" i="5" s="1"/>
  <c r="E5" i="4"/>
  <c r="E18" i="5"/>
  <c r="Q18"/>
  <c r="Q5" i="4"/>
  <c r="Q6" i="5" s="1"/>
  <c r="X18"/>
  <c r="X5" i="4"/>
  <c r="X6" i="5" s="1"/>
  <c r="F5" i="4"/>
  <c r="F6" i="5" s="1"/>
  <c r="F18"/>
  <c r="T18"/>
  <c r="T5" i="4"/>
  <c r="T6" i="5" s="1"/>
  <c r="I18"/>
  <c r="I5" i="4"/>
  <c r="I6" i="5" s="1"/>
  <c r="O18"/>
  <c r="O5" i="4"/>
  <c r="O6" i="5" s="1"/>
  <c r="R5" i="4"/>
  <c r="R6" i="5" s="1"/>
  <c r="R18"/>
  <c r="M5" i="4"/>
  <c r="M6" i="5" s="1"/>
  <c r="M18"/>
  <c r="F11" i="2"/>
  <c r="F13" i="5" s="1"/>
  <c r="E11" i="2"/>
  <c r="I16"/>
  <c r="J16" s="1"/>
  <c r="H11"/>
  <c r="H13" i="5" s="1"/>
  <c r="I11" i="2" l="1"/>
  <c r="I13" i="5" s="1"/>
  <c r="E5" i="2"/>
  <c r="E17" i="4" s="1"/>
  <c r="E6" i="5"/>
  <c r="E9" i="4"/>
  <c r="E13" i="5"/>
  <c r="K16" i="2"/>
  <c r="J11"/>
  <c r="J13" i="5" s="1"/>
  <c r="E10" i="4" l="1"/>
  <c r="F9"/>
  <c r="K11" i="2"/>
  <c r="K13" i="5" s="1"/>
  <c r="L16" i="2"/>
  <c r="E11" i="4" l="1"/>
  <c r="F11" s="1"/>
  <c r="F12" s="1"/>
  <c r="F10"/>
  <c r="G9"/>
  <c r="L11" i="2"/>
  <c r="L13" i="5" s="1"/>
  <c r="M16" i="2"/>
  <c r="G11" i="4" l="1"/>
  <c r="G12" s="1"/>
  <c r="F16"/>
  <c r="F15"/>
  <c r="F13"/>
  <c r="F9" i="5" s="1"/>
  <c r="F5" s="1"/>
  <c r="E12" i="4"/>
  <c r="G10"/>
  <c r="H11" s="1"/>
  <c r="H9"/>
  <c r="M11" i="2"/>
  <c r="M13" i="5" s="1"/>
  <c r="N16" i="2"/>
  <c r="F14" i="4" l="1"/>
  <c r="F8" s="1"/>
  <c r="I9"/>
  <c r="H12"/>
  <c r="H10"/>
  <c r="I11" s="1"/>
  <c r="E15"/>
  <c r="E13"/>
  <c r="E16"/>
  <c r="G16"/>
  <c r="G13"/>
  <c r="G9" i="5" s="1"/>
  <c r="G5" s="1"/>
  <c r="G15" i="4"/>
  <c r="G14" s="1"/>
  <c r="F14" i="5"/>
  <c r="O16" i="2"/>
  <c r="N11"/>
  <c r="N13" i="5" s="1"/>
  <c r="J9" i="4" l="1"/>
  <c r="I10"/>
  <c r="J11" s="1"/>
  <c r="I12"/>
  <c r="E14"/>
  <c r="E18" s="1"/>
  <c r="G14" i="5"/>
  <c r="G8" i="4"/>
  <c r="E9" i="5"/>
  <c r="E5" s="1"/>
  <c r="H13" i="4"/>
  <c r="H9" i="5" s="1"/>
  <c r="H5" s="1"/>
  <c r="H15" i="4"/>
  <c r="H16"/>
  <c r="O11" i="2"/>
  <c r="O13" i="5" s="1"/>
  <c r="P16" i="2"/>
  <c r="E8" i="4" l="1"/>
  <c r="E14" i="5"/>
  <c r="I13" i="4"/>
  <c r="I9" i="5" s="1"/>
  <c r="I5" s="1"/>
  <c r="I15" i="4"/>
  <c r="I16"/>
  <c r="K9"/>
  <c r="J12"/>
  <c r="J10"/>
  <c r="K11" s="1"/>
  <c r="H14"/>
  <c r="E25"/>
  <c r="E26" s="1"/>
  <c r="F23"/>
  <c r="F24" s="1"/>
  <c r="P11" i="2"/>
  <c r="P13" i="5" s="1"/>
  <c r="Q16" i="2"/>
  <c r="E27" i="4" l="1"/>
  <c r="E15" i="5" s="1"/>
  <c r="E10" s="1"/>
  <c r="E16" s="1"/>
  <c r="E19" s="1"/>
  <c r="J15" i="4"/>
  <c r="J16"/>
  <c r="J13"/>
  <c r="J9" i="5" s="1"/>
  <c r="J5" s="1"/>
  <c r="H14"/>
  <c r="H8" i="4"/>
  <c r="K10"/>
  <c r="L11" s="1"/>
  <c r="L9"/>
  <c r="K12"/>
  <c r="I14"/>
  <c r="Q11" i="2"/>
  <c r="Q13" i="5" s="1"/>
  <c r="R16" i="2"/>
  <c r="L10" i="4" l="1"/>
  <c r="M11" s="1"/>
  <c r="M9"/>
  <c r="L12"/>
  <c r="J14"/>
  <c r="E28"/>
  <c r="I14" i="5"/>
  <c r="I8" i="4"/>
  <c r="K15"/>
  <c r="K16"/>
  <c r="K13"/>
  <c r="K9" i="5" s="1"/>
  <c r="K5" s="1"/>
  <c r="S16" i="2"/>
  <c r="R11"/>
  <c r="R13" i="5" s="1"/>
  <c r="K14" i="4" l="1"/>
  <c r="K14" i="5" s="1"/>
  <c r="J14"/>
  <c r="J8" i="4"/>
  <c r="L16"/>
  <c r="L15"/>
  <c r="L13"/>
  <c r="L9" i="5" s="1"/>
  <c r="L5" s="1"/>
  <c r="E30" i="4"/>
  <c r="D16" i="3"/>
  <c r="E29" i="4"/>
  <c r="M12"/>
  <c r="N9"/>
  <c r="M10"/>
  <c r="N11" s="1"/>
  <c r="T16" i="2"/>
  <c r="S11"/>
  <c r="S13" i="5" s="1"/>
  <c r="K8" i="4" l="1"/>
  <c r="M13"/>
  <c r="M9" i="5" s="1"/>
  <c r="M5" s="1"/>
  <c r="M15" i="4"/>
  <c r="M16"/>
  <c r="N10"/>
  <c r="O11" s="1"/>
  <c r="O9"/>
  <c r="N12"/>
  <c r="E15" i="3"/>
  <c r="E17" s="1"/>
  <c r="F10" i="2" s="1"/>
  <c r="F7" s="1"/>
  <c r="F5" s="1"/>
  <c r="F17" i="4" s="1"/>
  <c r="F18" s="1"/>
  <c r="L14"/>
  <c r="U16" i="2"/>
  <c r="T11"/>
  <c r="T13" i="5" s="1"/>
  <c r="M14" i="4" l="1"/>
  <c r="M8" s="1"/>
  <c r="L14" i="5"/>
  <c r="L8" i="4"/>
  <c r="P9"/>
  <c r="O12"/>
  <c r="O10"/>
  <c r="P11" s="1"/>
  <c r="G22"/>
  <c r="F25"/>
  <c r="F26" s="1"/>
  <c r="G23"/>
  <c r="N13"/>
  <c r="N9" i="5" s="1"/>
  <c r="N5" s="1"/>
  <c r="N16" i="4"/>
  <c r="N15"/>
  <c r="M14" i="5"/>
  <c r="U11" i="2"/>
  <c r="U13" i="5" s="1"/>
  <c r="V16" i="2"/>
  <c r="N14" i="4" l="1"/>
  <c r="N14" i="5" s="1"/>
  <c r="F27" i="4"/>
  <c r="F15" i="5" s="1"/>
  <c r="F10" s="1"/>
  <c r="F16" s="1"/>
  <c r="F19" s="1"/>
  <c r="O15" i="4"/>
  <c r="O13"/>
  <c r="O9" i="5" s="1"/>
  <c r="O5" s="1"/>
  <c r="O16" i="4"/>
  <c r="P12"/>
  <c r="P10"/>
  <c r="Q11" s="1"/>
  <c r="Q9"/>
  <c r="G24"/>
  <c r="V11" i="2"/>
  <c r="V13" i="5" s="1"/>
  <c r="W16" i="2"/>
  <c r="N8" i="4" l="1"/>
  <c r="F28"/>
  <c r="E16" i="3" s="1"/>
  <c r="Q12" i="4"/>
  <c r="R9"/>
  <c r="Q10"/>
  <c r="R11" s="1"/>
  <c r="P15"/>
  <c r="P16"/>
  <c r="P13"/>
  <c r="P9" i="5" s="1"/>
  <c r="P5" s="1"/>
  <c r="O14" i="4"/>
  <c r="F29"/>
  <c r="W11" i="2"/>
  <c r="W13" i="5" s="1"/>
  <c r="X16" i="2"/>
  <c r="X11" s="1"/>
  <c r="X13" i="5" s="1"/>
  <c r="P14" i="4" l="1"/>
  <c r="P8" s="1"/>
  <c r="F30"/>
  <c r="F15" i="3" s="1"/>
  <c r="F17" s="1"/>
  <c r="G10" i="2" s="1"/>
  <c r="G7" s="1"/>
  <c r="G5" s="1"/>
  <c r="G17" i="4" s="1"/>
  <c r="G18" s="1"/>
  <c r="P14" i="5"/>
  <c r="Q13" i="4"/>
  <c r="Q9" i="5" s="1"/>
  <c r="Q5" s="1"/>
  <c r="Q15" i="4"/>
  <c r="Q16"/>
  <c r="O14" i="5"/>
  <c r="O8" i="4"/>
  <c r="R10"/>
  <c r="S11" s="1"/>
  <c r="S9"/>
  <c r="R12"/>
  <c r="R16" l="1"/>
  <c r="R13"/>
  <c r="R9" i="5" s="1"/>
  <c r="R5" s="1"/>
  <c r="R15" i="4"/>
  <c r="S10"/>
  <c r="T11" s="1"/>
  <c r="S12"/>
  <c r="T9"/>
  <c r="H22"/>
  <c r="H23"/>
  <c r="H21"/>
  <c r="G25"/>
  <c r="G26" s="1"/>
  <c r="Q14"/>
  <c r="R14" l="1"/>
  <c r="R8" s="1"/>
  <c r="H24"/>
  <c r="G27"/>
  <c r="G15" i="5" s="1"/>
  <c r="G10" s="1"/>
  <c r="G16" s="1"/>
  <c r="G19" s="1"/>
  <c r="S15" i="4"/>
  <c r="S16"/>
  <c r="S13"/>
  <c r="S9" i="5" s="1"/>
  <c r="S5" s="1"/>
  <c r="R14"/>
  <c r="Q14"/>
  <c r="Q8" i="4"/>
  <c r="T12"/>
  <c r="U9"/>
  <c r="T10"/>
  <c r="U11" s="1"/>
  <c r="S14" l="1"/>
  <c r="S14" i="5" s="1"/>
  <c r="U12" i="4"/>
  <c r="V9"/>
  <c r="U10"/>
  <c r="V11" s="1"/>
  <c r="T13"/>
  <c r="T9" i="5" s="1"/>
  <c r="T5" s="1"/>
  <c r="T16" i="4"/>
  <c r="T15"/>
  <c r="G28"/>
  <c r="T14" l="1"/>
  <c r="T14" i="5" s="1"/>
  <c r="S8" i="4"/>
  <c r="U13"/>
  <c r="U9" i="5" s="1"/>
  <c r="U5" s="1"/>
  <c r="U16" i="4"/>
  <c r="U15"/>
  <c r="G30"/>
  <c r="F16" i="3"/>
  <c r="G29" i="4"/>
  <c r="W9"/>
  <c r="V10"/>
  <c r="W11" s="1"/>
  <c r="V12"/>
  <c r="T8" l="1"/>
  <c r="U14"/>
  <c r="U8" s="1"/>
  <c r="X9"/>
  <c r="W12"/>
  <c r="W10"/>
  <c r="X11" s="1"/>
  <c r="U14" i="5"/>
  <c r="V13" i="4"/>
  <c r="V9" i="5" s="1"/>
  <c r="V5" s="1"/>
  <c r="V16" i="4"/>
  <c r="V15"/>
  <c r="G15" i="3"/>
  <c r="G17" s="1"/>
  <c r="H10" i="2" s="1"/>
  <c r="H7" s="1"/>
  <c r="H5" s="1"/>
  <c r="H17" i="4" s="1"/>
  <c r="H18" s="1"/>
  <c r="V14" l="1"/>
  <c r="V14" i="5" s="1"/>
  <c r="X10" i="4"/>
  <c r="X12"/>
  <c r="I22"/>
  <c r="I23"/>
  <c r="I21"/>
  <c r="I20"/>
  <c r="H25"/>
  <c r="H26" s="1"/>
  <c r="W15"/>
  <c r="W16"/>
  <c r="W13"/>
  <c r="W9" i="5" s="1"/>
  <c r="W5" s="1"/>
  <c r="I24" i="4" l="1"/>
  <c r="W14"/>
  <c r="W8" s="1"/>
  <c r="V8"/>
  <c r="W14" i="5"/>
  <c r="H27" i="4"/>
  <c r="H15" i="5" s="1"/>
  <c r="H10" s="1"/>
  <c r="H16" s="1"/>
  <c r="H19" s="1"/>
  <c r="X15" i="4"/>
  <c r="X16"/>
  <c r="X13"/>
  <c r="X9" i="5" s="1"/>
  <c r="X5" s="1"/>
  <c r="X14" i="4" l="1"/>
  <c r="X14" i="5" s="1"/>
  <c r="H28" i="4"/>
  <c r="X8" l="1"/>
  <c r="H30"/>
  <c r="H29"/>
  <c r="G16" i="3"/>
  <c r="H15" l="1"/>
  <c r="H17" s="1"/>
  <c r="I10" i="2" s="1"/>
  <c r="I7" s="1"/>
  <c r="I5" s="1"/>
  <c r="I17" i="4" s="1"/>
  <c r="I18" s="1"/>
  <c r="J20" l="1"/>
  <c r="J21"/>
  <c r="J19"/>
  <c r="J23"/>
  <c r="J22"/>
  <c r="I25"/>
  <c r="I26" s="1"/>
  <c r="J24" l="1"/>
  <c r="I27"/>
  <c r="I15" i="5" s="1"/>
  <c r="I10" s="1"/>
  <c r="I16" s="1"/>
  <c r="I19" s="1"/>
  <c r="I28" i="4" l="1"/>
  <c r="H16" i="3" s="1"/>
  <c r="I30" i="4" l="1"/>
  <c r="I29"/>
  <c r="I15" i="3" l="1"/>
  <c r="I17" s="1"/>
  <c r="J10" i="2" s="1"/>
  <c r="J7" s="1"/>
  <c r="J5" s="1"/>
  <c r="J17" i="4" s="1"/>
  <c r="J18" s="1"/>
  <c r="K22" l="1"/>
  <c r="K21"/>
  <c r="K20"/>
  <c r="K19"/>
  <c r="K23"/>
  <c r="J25"/>
  <c r="J26" s="1"/>
  <c r="J27" s="1"/>
  <c r="J15" i="5" s="1"/>
  <c r="J10" s="1"/>
  <c r="J16" s="1"/>
  <c r="J19" s="1"/>
  <c r="J28" i="4" l="1"/>
  <c r="J30" s="1"/>
  <c r="K24"/>
  <c r="I16" i="3" l="1"/>
  <c r="J29" i="4"/>
  <c r="J15" i="3" l="1"/>
  <c r="J17" s="1"/>
  <c r="K10" i="2" s="1"/>
  <c r="K7" s="1"/>
  <c r="K5" s="1"/>
  <c r="K17" i="4" s="1"/>
  <c r="K18" s="1"/>
  <c r="L20" s="1"/>
  <c r="K25" l="1"/>
  <c r="K26" s="1"/>
  <c r="K27" s="1"/>
  <c r="K15" i="5" s="1"/>
  <c r="K10" s="1"/>
  <c r="K16" s="1"/>
  <c r="K19" s="1"/>
  <c r="L21" i="4"/>
  <c r="L23"/>
  <c r="L19"/>
  <c r="L22"/>
  <c r="L24" s="1"/>
  <c r="K28" l="1"/>
  <c r="K29" s="1"/>
  <c r="K30"/>
  <c r="J16" i="3" l="1"/>
  <c r="K15" s="1"/>
  <c r="K17" s="1"/>
  <c r="L10" i="2" s="1"/>
  <c r="L7" s="1"/>
  <c r="L5" s="1"/>
  <c r="L17" i="4" s="1"/>
  <c r="L18" s="1"/>
  <c r="M19" s="1"/>
  <c r="M22" l="1"/>
  <c r="L25"/>
  <c r="L26" s="1"/>
  <c r="L27" s="1"/>
  <c r="L15" i="5" s="1"/>
  <c r="L10" s="1"/>
  <c r="L16" s="1"/>
  <c r="L19" s="1"/>
  <c r="M20" i="4"/>
  <c r="M23"/>
  <c r="M21"/>
  <c r="M24" l="1"/>
  <c r="L28"/>
  <c r="L29" l="1"/>
  <c r="L30"/>
  <c r="K16" i="3"/>
  <c r="L15" l="1"/>
  <c r="L17" s="1"/>
  <c r="M10" i="2" s="1"/>
  <c r="M7" s="1"/>
  <c r="M5" s="1"/>
  <c r="M17" i="4" s="1"/>
  <c r="M18" s="1"/>
  <c r="N19" l="1"/>
  <c r="N21"/>
  <c r="N20"/>
  <c r="N22"/>
  <c r="N23"/>
  <c r="M25"/>
  <c r="M26" s="1"/>
  <c r="N24" l="1"/>
  <c r="M27"/>
  <c r="M15" i="5" s="1"/>
  <c r="M10" s="1"/>
  <c r="M16" s="1"/>
  <c r="M19" s="1"/>
  <c r="M28" i="4" l="1"/>
  <c r="M30" s="1"/>
  <c r="M29" l="1"/>
  <c r="L16" i="3"/>
  <c r="M15" l="1"/>
  <c r="M17" s="1"/>
  <c r="N10" i="2" s="1"/>
  <c r="N7" s="1"/>
  <c r="N5" s="1"/>
  <c r="N17" i="4" s="1"/>
  <c r="N18" s="1"/>
  <c r="O22" s="1"/>
  <c r="O23" l="1"/>
  <c r="O19"/>
  <c r="O20"/>
  <c r="N25"/>
  <c r="N26" s="1"/>
  <c r="N27" s="1"/>
  <c r="N15" i="5" s="1"/>
  <c r="N10" s="1"/>
  <c r="N16" s="1"/>
  <c r="N19" s="1"/>
  <c r="O21" i="4"/>
  <c r="O24" l="1"/>
  <c r="N28"/>
  <c r="N29" l="1"/>
  <c r="N30"/>
  <c r="M16" i="3"/>
  <c r="N15" l="1"/>
  <c r="N17" s="1"/>
  <c r="O10" i="2" s="1"/>
  <c r="O7" s="1"/>
  <c r="O5" s="1"/>
  <c r="O17" i="4" s="1"/>
  <c r="O18" s="1"/>
  <c r="P19" s="1"/>
  <c r="O25" l="1"/>
  <c r="O26" s="1"/>
  <c r="O27" s="1"/>
  <c r="O15" i="5" s="1"/>
  <c r="O10" s="1"/>
  <c r="O16" s="1"/>
  <c r="O19" s="1"/>
  <c r="P22" i="4"/>
  <c r="P23"/>
  <c r="P21"/>
  <c r="P20"/>
  <c r="P24" l="1"/>
  <c r="O28"/>
  <c r="N16" i="3" s="1"/>
  <c r="O30" i="4" l="1"/>
  <c r="O29"/>
  <c r="O15" i="3" l="1"/>
  <c r="O17" s="1"/>
  <c r="P10" i="2" s="1"/>
  <c r="P7" s="1"/>
  <c r="P5" s="1"/>
  <c r="P17" i="4" s="1"/>
  <c r="P18" s="1"/>
  <c r="Q23" s="1"/>
  <c r="Q20" l="1"/>
  <c r="Q21"/>
  <c r="Q22"/>
  <c r="P25"/>
  <c r="P26" s="1"/>
  <c r="P27" s="1"/>
  <c r="P15" i="5" s="1"/>
  <c r="P10" s="1"/>
  <c r="P16" s="1"/>
  <c r="P19" s="1"/>
  <c r="Q19" i="4"/>
  <c r="Q24" l="1"/>
  <c r="P28"/>
  <c r="P30" l="1"/>
  <c r="P29"/>
  <c r="O16" i="3"/>
  <c r="P15" l="1"/>
  <c r="P17" s="1"/>
  <c r="Q10" i="2" s="1"/>
  <c r="Q7" s="1"/>
  <c r="Q5" s="1"/>
  <c r="Q17" i="4" s="1"/>
  <c r="Q18" s="1"/>
  <c r="Q25" l="1"/>
  <c r="Q26" s="1"/>
  <c r="R21"/>
  <c r="R22"/>
  <c r="R19"/>
  <c r="R23"/>
  <c r="R20"/>
  <c r="Q27" l="1"/>
  <c r="Q15" i="5" s="1"/>
  <c r="Q10" s="1"/>
  <c r="Q16" s="1"/>
  <c r="Q19" s="1"/>
  <c r="R24" i="4"/>
  <c r="Q28" l="1"/>
  <c r="Q30" l="1"/>
  <c r="Q29"/>
  <c r="P16" i="3"/>
  <c r="Q15" l="1"/>
  <c r="Q17" s="1"/>
  <c r="R10" i="2" s="1"/>
  <c r="R7" s="1"/>
  <c r="R5" s="1"/>
  <c r="R17" i="4" s="1"/>
  <c r="R18" s="1"/>
  <c r="S23" l="1"/>
  <c r="R25"/>
  <c r="R26" s="1"/>
  <c r="S22"/>
  <c r="S20"/>
  <c r="S21"/>
  <c r="S19"/>
  <c r="S24" l="1"/>
  <c r="R27"/>
  <c r="R15" i="5" s="1"/>
  <c r="R10" s="1"/>
  <c r="R16" s="1"/>
  <c r="R19" s="1"/>
  <c r="R28" i="4" l="1"/>
  <c r="Q16" i="3" l="1"/>
  <c r="R29" i="4"/>
  <c r="R30"/>
  <c r="R15" i="3" l="1"/>
  <c r="R17" s="1"/>
  <c r="S10" i="2" s="1"/>
  <c r="S7" s="1"/>
  <c r="S5" s="1"/>
  <c r="S17" i="4" s="1"/>
  <c r="S18" s="1"/>
  <c r="T20" l="1"/>
  <c r="T21"/>
  <c r="T23"/>
  <c r="T19"/>
  <c r="S25"/>
  <c r="S26" s="1"/>
  <c r="T22"/>
  <c r="S27" l="1"/>
  <c r="S15" i="5" s="1"/>
  <c r="S10" s="1"/>
  <c r="S16" s="1"/>
  <c r="S19" s="1"/>
  <c r="T24" i="4"/>
  <c r="S28" l="1"/>
  <c r="S29" l="1"/>
  <c r="R16" i="3"/>
  <c r="S30" i="4"/>
  <c r="S15" i="3" l="1"/>
  <c r="S17" s="1"/>
  <c r="T10" i="2" s="1"/>
  <c r="T7" s="1"/>
  <c r="T5" s="1"/>
  <c r="T17" i="4" s="1"/>
  <c r="T18" s="1"/>
  <c r="U23" l="1"/>
  <c r="U21"/>
  <c r="U19"/>
  <c r="T25"/>
  <c r="T26" s="1"/>
  <c r="U22"/>
  <c r="U20"/>
  <c r="U24" l="1"/>
  <c r="T27"/>
  <c r="T15" i="5" s="1"/>
  <c r="T10" s="1"/>
  <c r="T16" s="1"/>
  <c r="T19" s="1"/>
  <c r="T28" i="4" l="1"/>
  <c r="T29" s="1"/>
  <c r="T30" l="1"/>
  <c r="S16" i="3"/>
  <c r="T15" l="1"/>
  <c r="T17" s="1"/>
  <c r="U10" i="2" s="1"/>
  <c r="U7" s="1"/>
  <c r="U5" s="1"/>
  <c r="U17" i="4" s="1"/>
  <c r="U18" s="1"/>
  <c r="V19" s="1"/>
  <c r="V22" l="1"/>
  <c r="V21"/>
  <c r="V23"/>
  <c r="U25"/>
  <c r="U26" s="1"/>
  <c r="U27" s="1"/>
  <c r="U15" i="5" s="1"/>
  <c r="U10" s="1"/>
  <c r="U16" s="1"/>
  <c r="U19" s="1"/>
  <c r="V20" i="4"/>
  <c r="V24" l="1"/>
  <c r="U28"/>
  <c r="U30" l="1"/>
  <c r="T16" i="3"/>
  <c r="U29" i="4"/>
  <c r="U15" i="3" l="1"/>
  <c r="U17" s="1"/>
  <c r="V10" i="2" s="1"/>
  <c r="V7" s="1"/>
  <c r="V5" s="1"/>
  <c r="V17" i="4" s="1"/>
  <c r="V18" s="1"/>
  <c r="V25" s="1"/>
  <c r="V26" s="1"/>
  <c r="W20" l="1"/>
  <c r="W21"/>
  <c r="W19"/>
  <c r="W23"/>
  <c r="W22"/>
  <c r="V27"/>
  <c r="V15" i="5" s="1"/>
  <c r="V10" s="1"/>
  <c r="V16" s="1"/>
  <c r="V19" s="1"/>
  <c r="W24" i="4" l="1"/>
  <c r="V28"/>
  <c r="V29" l="1"/>
  <c r="U16" i="3"/>
  <c r="V30" i="4"/>
  <c r="V15" i="3" l="1"/>
  <c r="V17" s="1"/>
  <c r="W10" i="2" s="1"/>
  <c r="W7" s="1"/>
  <c r="W5" s="1"/>
  <c r="W17" i="4" s="1"/>
  <c r="W18" s="1"/>
  <c r="X20" s="1"/>
  <c r="X22" l="1"/>
  <c r="X19"/>
  <c r="X21"/>
  <c r="X23"/>
  <c r="W25"/>
  <c r="W26" s="1"/>
  <c r="W27" s="1"/>
  <c r="W15" i="5" s="1"/>
  <c r="W10" s="1"/>
  <c r="W16" s="1"/>
  <c r="X24" i="4" l="1"/>
  <c r="W19" i="5"/>
  <c r="W28" i="4"/>
  <c r="W30" l="1"/>
  <c r="V16" i="3"/>
  <c r="W29" i="4"/>
  <c r="W15" i="3" l="1"/>
  <c r="W17" s="1"/>
  <c r="X10" i="2" s="1"/>
  <c r="X7" s="1"/>
  <c r="X5" s="1"/>
  <c r="X17" i="4" s="1"/>
  <c r="X18" s="1"/>
  <c r="X25" s="1"/>
  <c r="X26" s="1"/>
  <c r="X27" s="1"/>
  <c r="X15" i="5" s="1"/>
  <c r="X10" s="1"/>
  <c r="X16" s="1"/>
  <c r="X19" l="1"/>
  <c r="D20" s="1"/>
  <c r="E3" i="6" s="1"/>
  <c r="D17" i="5"/>
  <c r="E2" i="6" s="1"/>
  <c r="X28" i="4"/>
  <c r="W16" i="3" l="1"/>
  <c r="X30" i="4"/>
  <c r="X29"/>
  <c r="H8" i="6"/>
  <c r="Q11"/>
  <c r="Q9"/>
  <c r="H11"/>
  <c r="Q10"/>
  <c r="Q8"/>
  <c r="H10"/>
  <c r="H9"/>
</calcChain>
</file>

<file path=xl/sharedStrings.xml><?xml version="1.0" encoding="utf-8"?>
<sst xmlns="http://schemas.openxmlformats.org/spreadsheetml/2006/main" count="256" uniqueCount="153">
  <si>
    <t>No.</t>
  </si>
  <si>
    <t>Parameters</t>
  </si>
  <si>
    <t>Unit</t>
  </si>
  <si>
    <t>Value</t>
  </si>
  <si>
    <t>Sources</t>
  </si>
  <si>
    <t>Basic Parameters</t>
  </si>
  <si>
    <t>Installed capacity</t>
  </si>
  <si>
    <t>MW</t>
  </si>
  <si>
    <t>FSR</t>
  </si>
  <si>
    <t>Annual output</t>
  </si>
  <si>
    <t>MWh</t>
  </si>
  <si>
    <t>On-grid tariff (incl. VAT)</t>
  </si>
  <si>
    <t>RMB/kWh</t>
  </si>
  <si>
    <t>On-grid tariff (excl. VAT)</t>
  </si>
  <si>
    <t>Calculated</t>
  </si>
  <si>
    <t>Investment</t>
  </si>
  <si>
    <t>Dynamic investment</t>
  </si>
  <si>
    <t>10,000RMB</t>
  </si>
  <si>
    <t>Total static investment</t>
  </si>
  <si>
    <t>Interest during construction</t>
  </si>
  <si>
    <t>Fluid capital</t>
  </si>
  <si>
    <t>Loan</t>
  </si>
  <si>
    <t>Long-term loan</t>
  </si>
  <si>
    <t>First year</t>
  </si>
  <si>
    <t>Second year</t>
  </si>
  <si>
    <t xml:space="preserve">Interest rate of long-term loan </t>
  </si>
  <si>
    <t>Short-term loan</t>
  </si>
  <si>
    <t xml:space="preserve">Interest rate of short-term loan </t>
  </si>
  <si>
    <t>O&amp;M cost</t>
  </si>
  <si>
    <t>Number of employees</t>
  </si>
  <si>
    <t>Person</t>
  </si>
  <si>
    <t>Issurance fee rate</t>
  </si>
  <si>
    <t>Material fee</t>
  </si>
  <si>
    <t>Miscellaneous fee</t>
  </si>
  <si>
    <t>Depreciation</t>
  </si>
  <si>
    <t>Devalue rate</t>
  </si>
  <si>
    <t>Depreciation year</t>
  </si>
  <si>
    <t>Year</t>
  </si>
  <si>
    <t>Depreciation rate</t>
  </si>
  <si>
    <t>Tax rate</t>
  </si>
  <si>
    <t>Original equipment deduction</t>
  </si>
  <si>
    <t>Value Added Tax</t>
  </si>
  <si>
    <t>CER related parameters</t>
  </si>
  <si>
    <t>NDRC</t>
  </si>
  <si>
    <t>Price for Unit CER</t>
  </si>
  <si>
    <t>EUR</t>
  </si>
  <si>
    <t>ERPA</t>
  </si>
  <si>
    <t>Rate of Exchange</t>
  </si>
  <si>
    <t>RMB/EUR</t>
  </si>
  <si>
    <t>Estimated</t>
  </si>
  <si>
    <t>Emission reductions</t>
  </si>
  <si>
    <t>Total Cost &amp; Expenses</t>
  </si>
  <si>
    <t>Items</t>
  </si>
  <si>
    <t>Construction Period</t>
  </si>
  <si>
    <t>Operating Period                                                                                                                                              Unit:10000RMB</t>
  </si>
  <si>
    <t>Depreciation fee</t>
  </si>
  <si>
    <t>Financial cost</t>
  </si>
  <si>
    <t>Interest of Long-term loan</t>
  </si>
  <si>
    <t>Interest of Fluid capital loan</t>
  </si>
  <si>
    <t>Interest of Short-term loan</t>
  </si>
  <si>
    <t>O&amp;M Cost</t>
  </si>
  <si>
    <t>Employee payment</t>
  </si>
  <si>
    <t>Maintenance fee</t>
  </si>
  <si>
    <t>Insurance fee</t>
  </si>
  <si>
    <t>Loan &amp; Payment</t>
  </si>
  <si>
    <t>Operating period                                                                                                                                                                                         Unit:10000RMB</t>
  </si>
  <si>
    <t>Long-term Loan</t>
  </si>
  <si>
    <t xml:space="preserve">Accumulated Principle and interest at the beginning of the year </t>
  </si>
  <si>
    <t>Payable Principle</t>
  </si>
  <si>
    <t>Payable Interest</t>
  </si>
  <si>
    <t>Fluid capital loan</t>
  </si>
  <si>
    <t>Payable Priciple</t>
  </si>
  <si>
    <t>Profit &amp; Loss</t>
  </si>
  <si>
    <t>Construction period</t>
  </si>
  <si>
    <t>Operating Period                                                                                                                                                                                                                                                                                 Unit:10000RMB</t>
  </si>
  <si>
    <t>Sales revenue</t>
  </si>
  <si>
    <t>Tariff(excl. VAT)</t>
  </si>
  <si>
    <t>VAT and additional tax</t>
  </si>
  <si>
    <t>VAT</t>
  </si>
  <si>
    <t>VAT accumaled</t>
  </si>
  <si>
    <t>VAT  subsidy</t>
  </si>
  <si>
    <t>VAT after subsidy</t>
  </si>
  <si>
    <t>VAT 50% deduction</t>
  </si>
  <si>
    <t>Additional tax</t>
  </si>
  <si>
    <t>Education tax</t>
  </si>
  <si>
    <t>Construction tax</t>
  </si>
  <si>
    <t>Total cost &amp; Expenses</t>
  </si>
  <si>
    <t>Gross Profit</t>
  </si>
  <si>
    <t>　</t>
  </si>
  <si>
    <t>Previous five year</t>
  </si>
  <si>
    <t>Previous four year</t>
  </si>
  <si>
    <t>Previous three year</t>
  </si>
  <si>
    <t>Previous two year</t>
  </si>
  <si>
    <t>Previous year</t>
  </si>
  <si>
    <t>Sub total</t>
  </si>
  <si>
    <t>Deficit offset</t>
  </si>
  <si>
    <t>Profit (taxable)</t>
  </si>
  <si>
    <t>Income tax</t>
  </si>
  <si>
    <t>Post-tax Profit</t>
  </si>
  <si>
    <t>Accumulated Deficit 2</t>
  </si>
  <si>
    <t>Deficit 2</t>
  </si>
  <si>
    <t>Total</t>
  </si>
  <si>
    <t>Operating period                                                                                                                                                                                                                                                                         Unit:10000RMB</t>
  </si>
  <si>
    <t>Cashflow in</t>
  </si>
  <si>
    <t>Recovery of static investment</t>
  </si>
  <si>
    <t>recovery of fluid capital</t>
  </si>
  <si>
    <t xml:space="preserve">Subsidy </t>
  </si>
  <si>
    <t>Cashflow out</t>
  </si>
  <si>
    <t>static investment</t>
  </si>
  <si>
    <t>Net Cashflow(without CDM revenue)</t>
  </si>
  <si>
    <t>IRR (without CDM revenue)</t>
  </si>
  <si>
    <t>CDM revenue</t>
  </si>
  <si>
    <t>Net Cashflow(with CDM revenue)</t>
  </si>
  <si>
    <t>IRR(with CDM revenue)</t>
  </si>
  <si>
    <t>Project IRR (without CER Revenues)</t>
  </si>
  <si>
    <t>Project IRR (with CER Revenues)</t>
  </si>
  <si>
    <t>Sensitivity Analysis</t>
  </si>
  <si>
    <t>Sensitivity analysis</t>
  </si>
  <si>
    <t>Variables</t>
  </si>
  <si>
    <t>Range</t>
  </si>
  <si>
    <t>Fluctuate</t>
  </si>
  <si>
    <t>IRR</t>
  </si>
  <si>
    <t>Critical Point Analysis</t>
  </si>
  <si>
    <t>Annual O&amp;M cost</t>
    <phoneticPr fontId="29" type="noConversion"/>
  </si>
  <si>
    <t xml:space="preserve"> </t>
    <phoneticPr fontId="29" type="noConversion"/>
  </si>
  <si>
    <t xml:space="preserve"> </t>
    <phoneticPr fontId="29" type="noConversion"/>
  </si>
  <si>
    <t xml:space="preserve"> Net Cashflow (Total investment)</t>
    <phoneticPr fontId="29" type="noConversion"/>
  </si>
  <si>
    <t>Fluid capital</t>
    <phoneticPr fontId="29" type="noConversion"/>
  </si>
  <si>
    <t>Annual net power generation</t>
    <phoneticPr fontId="29" type="noConversion"/>
  </si>
  <si>
    <t>Total static investment</t>
    <phoneticPr fontId="29" type="noConversion"/>
  </si>
  <si>
    <t>Annual net power generation</t>
    <phoneticPr fontId="29" type="noConversion"/>
  </si>
  <si>
    <t>On-grid tariff (incl.VAT)</t>
    <phoneticPr fontId="29" type="noConversion"/>
  </si>
  <si>
    <t>Annual O&amp;M cost</t>
    <phoneticPr fontId="29" type="noConversion"/>
  </si>
  <si>
    <t>Huachuan(Daqingbeishan) Phase II Wind Power Project</t>
    <phoneticPr fontId="29" type="noConversion"/>
  </si>
  <si>
    <t>Annual net power generation</t>
    <phoneticPr fontId="29" type="noConversion"/>
  </si>
  <si>
    <t>Maintenance fee rate( during operational period)</t>
    <phoneticPr fontId="29" type="noConversion"/>
  </si>
  <si>
    <t>year 1-2</t>
    <phoneticPr fontId="29" type="noConversion"/>
  </si>
  <si>
    <t>FSR</t>
    <phoneticPr fontId="29" type="noConversion"/>
  </si>
  <si>
    <t>year 3-5</t>
    <phoneticPr fontId="29" type="noConversion"/>
  </si>
  <si>
    <t>year 6-10</t>
    <phoneticPr fontId="29" type="noConversion"/>
  </si>
  <si>
    <t>year 11-15</t>
    <phoneticPr fontId="29" type="noConversion"/>
  </si>
  <si>
    <t>year16-20</t>
    <phoneticPr fontId="29" type="noConversion"/>
  </si>
  <si>
    <t>RMB/MWh</t>
    <phoneticPr fontId="29" type="noConversion"/>
  </si>
  <si>
    <t>Emission Factor for NECPG</t>
    <phoneticPr fontId="29" type="noConversion"/>
  </si>
  <si>
    <r>
      <t>tCO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e</t>
    </r>
    <phoneticPr fontId="29" type="noConversion"/>
  </si>
  <si>
    <r>
      <t>tCO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/MWh</t>
    </r>
    <phoneticPr fontId="29" type="noConversion"/>
  </si>
  <si>
    <t>Urban maintenance &amp; construction tax</t>
    <phoneticPr fontId="29" type="noConversion"/>
  </si>
  <si>
    <t>Education surcharge</t>
    <phoneticPr fontId="29" type="noConversion"/>
  </si>
  <si>
    <t>Income tax</t>
    <phoneticPr fontId="29" type="noConversion"/>
  </si>
  <si>
    <t>Annual average salary</t>
    <phoneticPr fontId="29" type="noConversion"/>
  </si>
  <si>
    <t>Welfare rate</t>
    <phoneticPr fontId="29" type="noConversion"/>
  </si>
  <si>
    <t>Total static investment</t>
    <phoneticPr fontId="29" type="noConversion"/>
  </si>
  <si>
    <t>On-grid tariff (Including VAT)</t>
    <phoneticPr fontId="29" type="noConversion"/>
  </si>
</sst>
</file>

<file path=xl/styles.xml><?xml version="1.0" encoding="utf-8"?>
<styleSheet xmlns="http://schemas.openxmlformats.org/spreadsheetml/2006/main">
  <numFmts count="12">
    <numFmt numFmtId="176" formatCode="0_ "/>
    <numFmt numFmtId="177" formatCode="0.000_ "/>
    <numFmt numFmtId="178" formatCode="0.0_ "/>
    <numFmt numFmtId="179" formatCode="0_);[Red]\(0\)"/>
    <numFmt numFmtId="180" formatCode="0.0%"/>
    <numFmt numFmtId="181" formatCode="0.0000_ "/>
    <numFmt numFmtId="182" formatCode="0;_⠀"/>
    <numFmt numFmtId="183" formatCode="0.00_ "/>
    <numFmt numFmtId="184" formatCode="#,##0_ "/>
    <numFmt numFmtId="185" formatCode="#,##0.00_);[Red]\(#,##0.00\)"/>
    <numFmt numFmtId="186" formatCode="#,##0.0_);[Red]\(#,##0.0\)"/>
    <numFmt numFmtId="187" formatCode="#,##0_);[Red]\(#,##0\)"/>
  </numFmts>
  <fonts count="31">
    <font>
      <sz val="11"/>
      <color indexed="8"/>
      <name val="宋体"/>
      <charset val="134"/>
    </font>
    <font>
      <sz val="11"/>
      <color indexed="8"/>
      <name val="Times New Roman"/>
      <family val="1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indexed="10"/>
      <name val="Times New Roman"/>
      <family val="1"/>
    </font>
    <font>
      <b/>
      <sz val="18"/>
      <color indexed="8"/>
      <name val="宋体"/>
      <family val="3"/>
      <charset val="134"/>
    </font>
    <font>
      <sz val="16"/>
      <color indexed="8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vertAlign val="subscript"/>
      <sz val="11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0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4">
    <xf numFmtId="0" fontId="0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28" fillId="0" borderId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2" fillId="7" borderId="5" applyNumberFormat="0" applyAlignment="0" applyProtection="0">
      <alignment vertical="center"/>
    </xf>
    <xf numFmtId="0" fontId="28" fillId="23" borderId="9" applyNumberFormat="0" applyFont="0" applyAlignment="0" applyProtection="0">
      <alignment vertical="center"/>
    </xf>
  </cellStyleXfs>
  <cellXfs count="222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0" fontId="1" fillId="24" borderId="0" xfId="0" applyNumberFormat="1" applyFont="1" applyFill="1" applyBorder="1" applyAlignment="1">
      <alignment vertical="center"/>
    </xf>
    <xf numFmtId="0" fontId="21" fillId="24" borderId="10" xfId="0" applyNumberFormat="1" applyFont="1" applyFill="1" applyBorder="1" applyAlignment="1">
      <alignment horizontal="left" vertical="center" wrapText="1"/>
    </xf>
    <xf numFmtId="0" fontId="21" fillId="24" borderId="12" xfId="0" applyNumberFormat="1" applyFont="1" applyFill="1" applyBorder="1" applyAlignment="1">
      <alignment horizontal="left" vertical="center" wrapText="1"/>
    </xf>
    <xf numFmtId="0" fontId="21" fillId="24" borderId="13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176" fontId="21" fillId="0" borderId="13" xfId="0" applyNumberFormat="1" applyFont="1" applyFill="1" applyBorder="1" applyAlignment="1">
      <alignment horizontal="center" vertical="center" wrapText="1"/>
    </xf>
    <xf numFmtId="0" fontId="21" fillId="24" borderId="12" xfId="0" applyNumberFormat="1" applyFont="1" applyFill="1" applyBorder="1" applyAlignment="1">
      <alignment horizontal="center" vertical="center" wrapText="1"/>
    </xf>
    <xf numFmtId="176" fontId="21" fillId="0" borderId="12" xfId="0" applyNumberFormat="1" applyFont="1" applyFill="1" applyBorder="1" applyAlignment="1">
      <alignment horizontal="center" vertical="center" wrapText="1"/>
    </xf>
    <xf numFmtId="0" fontId="21" fillId="0" borderId="10" xfId="0" applyNumberFormat="1" applyFont="1" applyFill="1" applyBorder="1" applyAlignment="1">
      <alignment horizontal="center" vertical="center" wrapText="1"/>
    </xf>
    <xf numFmtId="176" fontId="21" fillId="0" borderId="10" xfId="0" applyNumberFormat="1" applyFont="1" applyFill="1" applyBorder="1" applyAlignment="1">
      <alignment horizontal="center" vertical="center" wrapText="1"/>
    </xf>
    <xf numFmtId="0" fontId="21" fillId="24" borderId="10" xfId="0" applyNumberFormat="1" applyFont="1" applyFill="1" applyBorder="1" applyAlignment="1">
      <alignment horizontal="center" vertical="center" wrapText="1"/>
    </xf>
    <xf numFmtId="0" fontId="20" fillId="24" borderId="10" xfId="0" applyNumberFormat="1" applyFont="1" applyFill="1" applyBorder="1" applyAlignment="1">
      <alignment horizontal="left" vertical="center" wrapText="1"/>
    </xf>
    <xf numFmtId="0" fontId="1" fillId="0" borderId="19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vertical="center"/>
    </xf>
    <xf numFmtId="10" fontId="22" fillId="0" borderId="21" xfId="0" applyNumberFormat="1" applyFont="1" applyFill="1" applyBorder="1" applyAlignment="1">
      <alignment vertical="center"/>
    </xf>
    <xf numFmtId="0" fontId="1" fillId="0" borderId="22" xfId="0" applyNumberFormat="1" applyFont="1" applyFill="1" applyBorder="1" applyAlignment="1">
      <alignment vertical="center"/>
    </xf>
    <xf numFmtId="0" fontId="1" fillId="0" borderId="23" xfId="0" applyNumberFormat="1" applyFont="1" applyFill="1" applyBorder="1" applyAlignment="1">
      <alignment vertical="center"/>
    </xf>
    <xf numFmtId="10" fontId="22" fillId="0" borderId="24" xfId="0" applyNumberFormat="1" applyFont="1" applyFill="1" applyBorder="1" applyAlignment="1">
      <alignment vertical="center"/>
    </xf>
    <xf numFmtId="10" fontId="1" fillId="0" borderId="0" xfId="0" applyNumberFormat="1" applyFont="1" applyFill="1" applyBorder="1" applyAlignment="1">
      <alignment vertical="center"/>
    </xf>
    <xf numFmtId="0" fontId="21" fillId="0" borderId="29" xfId="0" applyNumberFormat="1" applyFont="1" applyFill="1" applyBorder="1" applyAlignment="1">
      <alignment vertical="center"/>
    </xf>
    <xf numFmtId="179" fontId="21" fillId="0" borderId="10" xfId="0" applyNumberFormat="1" applyFont="1" applyFill="1" applyBorder="1" applyAlignment="1">
      <alignment horizontal="center" vertical="center" wrapText="1"/>
    </xf>
    <xf numFmtId="0" fontId="21" fillId="24" borderId="34" xfId="0" applyNumberFormat="1" applyFont="1" applyFill="1" applyBorder="1" applyAlignment="1">
      <alignment horizontal="center" vertical="center" wrapText="1"/>
    </xf>
    <xf numFmtId="0" fontId="21" fillId="24" borderId="35" xfId="0" applyNumberFormat="1" applyFont="1" applyFill="1" applyBorder="1" applyAlignment="1">
      <alignment horizontal="left" vertical="center" wrapText="1"/>
    </xf>
    <xf numFmtId="0" fontId="20" fillId="4" borderId="36" xfId="0" applyNumberFormat="1" applyFont="1" applyFill="1" applyBorder="1" applyAlignment="1">
      <alignment horizontal="center" vertical="center" wrapText="1"/>
    </xf>
    <xf numFmtId="0" fontId="20" fillId="4" borderId="37" xfId="0" applyNumberFormat="1" applyFont="1" applyFill="1" applyBorder="1" applyAlignment="1">
      <alignment horizontal="center" vertical="center" wrapText="1"/>
    </xf>
    <xf numFmtId="0" fontId="20" fillId="24" borderId="38" xfId="0" applyNumberFormat="1" applyFont="1" applyFill="1" applyBorder="1" applyAlignment="1">
      <alignment horizontal="center" vertical="center" wrapText="1"/>
    </xf>
    <xf numFmtId="0" fontId="21" fillId="24" borderId="39" xfId="0" applyNumberFormat="1" applyFont="1" applyFill="1" applyBorder="1" applyAlignment="1">
      <alignment horizontal="center" vertical="center" wrapText="1"/>
    </xf>
    <xf numFmtId="0" fontId="21" fillId="24" borderId="42" xfId="0" applyNumberFormat="1" applyFont="1" applyFill="1" applyBorder="1" applyAlignment="1">
      <alignment horizontal="left" vertical="center" wrapText="1"/>
    </xf>
    <xf numFmtId="0" fontId="21" fillId="0" borderId="42" xfId="0" applyNumberFormat="1" applyFont="1" applyFill="1" applyBorder="1" applyAlignment="1">
      <alignment horizontal="center" vertical="center" wrapText="1"/>
    </xf>
    <xf numFmtId="0" fontId="20" fillId="4" borderId="43" xfId="0" applyNumberFormat="1" applyFont="1" applyFill="1" applyBorder="1" applyAlignment="1">
      <alignment horizontal="center" vertical="center" wrapText="1"/>
    </xf>
    <xf numFmtId="0" fontId="21" fillId="24" borderId="38" xfId="0" applyNumberFormat="1" applyFont="1" applyFill="1" applyBorder="1" applyAlignment="1">
      <alignment horizontal="center" vertical="center" wrapText="1"/>
    </xf>
    <xf numFmtId="182" fontId="21" fillId="24" borderId="44" xfId="0" applyNumberFormat="1" applyFont="1" applyFill="1" applyBorder="1" applyAlignment="1">
      <alignment horizontal="center" vertical="center" wrapText="1"/>
    </xf>
    <xf numFmtId="0" fontId="20" fillId="4" borderId="46" xfId="0" applyNumberFormat="1" applyFont="1" applyFill="1" applyBorder="1" applyAlignment="1">
      <alignment horizontal="center" vertical="center" wrapText="1"/>
    </xf>
    <xf numFmtId="0" fontId="21" fillId="24" borderId="47" xfId="0" applyNumberFormat="1" applyFont="1" applyFill="1" applyBorder="1" applyAlignment="1">
      <alignment horizontal="center" vertical="center" wrapText="1"/>
    </xf>
    <xf numFmtId="0" fontId="21" fillId="24" borderId="49" xfId="0" applyNumberFormat="1" applyFont="1" applyFill="1" applyBorder="1" applyAlignment="1">
      <alignment horizontal="left" vertical="center" wrapText="1"/>
    </xf>
    <xf numFmtId="0" fontId="21" fillId="24" borderId="16" xfId="0" applyNumberFormat="1" applyFont="1" applyFill="1" applyBorder="1" applyAlignment="1">
      <alignment horizontal="center" vertical="center" wrapText="1"/>
    </xf>
    <xf numFmtId="179" fontId="1" fillId="0" borderId="0" xfId="0" applyNumberFormat="1" applyFont="1" applyFill="1" applyBorder="1" applyAlignment="1">
      <alignment horizontal="center" vertical="center"/>
    </xf>
    <xf numFmtId="0" fontId="1" fillId="0" borderId="50" xfId="0" applyNumberFormat="1" applyFont="1" applyFill="1" applyBorder="1" applyAlignment="1">
      <alignment vertical="center"/>
    </xf>
    <xf numFmtId="0" fontId="1" fillId="0" borderId="51" xfId="0" applyNumberFormat="1" applyFont="1" applyFill="1" applyBorder="1" applyAlignment="1">
      <alignment horizontal="center" vertical="center"/>
    </xf>
    <xf numFmtId="0" fontId="1" fillId="0" borderId="52" xfId="0" applyNumberFormat="1" applyFont="1" applyFill="1" applyBorder="1" applyAlignment="1">
      <alignment horizontal="center" vertical="center"/>
    </xf>
    <xf numFmtId="0" fontId="1" fillId="0" borderId="53" xfId="0" applyNumberFormat="1" applyFont="1" applyFill="1" applyBorder="1" applyAlignment="1">
      <alignment vertical="center"/>
    </xf>
    <xf numFmtId="0" fontId="1" fillId="0" borderId="54" xfId="0" applyNumberFormat="1" applyFont="1" applyFill="1" applyBorder="1" applyAlignment="1">
      <alignment vertical="center"/>
    </xf>
    <xf numFmtId="0" fontId="1" fillId="0" borderId="55" xfId="0" applyNumberFormat="1" applyFont="1" applyFill="1" applyBorder="1" applyAlignment="1">
      <alignment horizontal="center" vertical="center" wrapText="1"/>
    </xf>
    <xf numFmtId="10" fontId="1" fillId="0" borderId="57" xfId="0" applyNumberFormat="1" applyFont="1" applyFill="1" applyBorder="1" applyAlignment="1">
      <alignment horizontal="center" vertical="center"/>
    </xf>
    <xf numFmtId="10" fontId="24" fillId="0" borderId="57" xfId="0" applyNumberFormat="1" applyFont="1" applyFill="1" applyBorder="1" applyAlignment="1">
      <alignment horizontal="center" vertical="center"/>
    </xf>
    <xf numFmtId="10" fontId="1" fillId="0" borderId="58" xfId="0" applyNumberFormat="1" applyFont="1" applyFill="1" applyBorder="1" applyAlignment="1">
      <alignment horizontal="center" vertical="center"/>
    </xf>
    <xf numFmtId="10" fontId="1" fillId="0" borderId="59" xfId="0" applyNumberFormat="1" applyFont="1" applyFill="1" applyBorder="1" applyAlignment="1">
      <alignment horizontal="center" vertical="center"/>
    </xf>
    <xf numFmtId="10" fontId="1" fillId="0" borderId="60" xfId="0" applyNumberFormat="1" applyFont="1" applyFill="1" applyBorder="1" applyAlignment="1">
      <alignment horizontal="center" vertical="center"/>
    </xf>
    <xf numFmtId="0" fontId="1" fillId="0" borderId="50" xfId="0" applyNumberFormat="1" applyFont="1" applyFill="1" applyBorder="1" applyAlignment="1">
      <alignment horizontal="center" vertical="center"/>
    </xf>
    <xf numFmtId="9" fontId="1" fillId="0" borderId="51" xfId="0" applyNumberFormat="1" applyFont="1" applyFill="1" applyBorder="1" applyAlignment="1">
      <alignment horizontal="center" vertical="center"/>
    </xf>
    <xf numFmtId="10" fontId="1" fillId="0" borderId="51" xfId="0" applyNumberFormat="1" applyFont="1" applyFill="1" applyBorder="1" applyAlignment="1">
      <alignment horizontal="center" vertical="center"/>
    </xf>
    <xf numFmtId="9" fontId="1" fillId="0" borderId="52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9" fontId="21" fillId="24" borderId="10" xfId="0" applyNumberFormat="1" applyFont="1" applyFill="1" applyBorder="1" applyAlignment="1">
      <alignment horizontal="center" vertical="center" wrapText="1"/>
    </xf>
    <xf numFmtId="0" fontId="1" fillId="24" borderId="0" xfId="26" applyNumberFormat="1" applyFont="1" applyFill="1" applyAlignment="1" applyProtection="1">
      <alignment vertical="center"/>
    </xf>
    <xf numFmtId="179" fontId="21" fillId="24" borderId="10" xfId="26" applyNumberFormat="1" applyFont="1" applyFill="1" applyBorder="1" applyAlignment="1" applyProtection="1">
      <alignment horizontal="center" vertical="center" wrapText="1"/>
    </xf>
    <xf numFmtId="10" fontId="1" fillId="0" borderId="59" xfId="19" applyNumberFormat="1" applyFont="1" applyFill="1" applyBorder="1" applyAlignment="1">
      <alignment horizontal="center" vertical="center"/>
    </xf>
    <xf numFmtId="10" fontId="1" fillId="0" borderId="60" xfId="19" applyNumberFormat="1" applyFont="1" applyFill="1" applyBorder="1" applyAlignment="1">
      <alignment horizontal="center" vertical="center"/>
    </xf>
    <xf numFmtId="179" fontId="21" fillId="24" borderId="68" xfId="26" applyNumberFormat="1" applyFont="1" applyFill="1" applyBorder="1" applyAlignment="1" applyProtection="1">
      <alignment horizontal="center" vertical="center" wrapText="1"/>
    </xf>
    <xf numFmtId="0" fontId="21" fillId="24" borderId="69" xfId="0" applyNumberFormat="1" applyFont="1" applyFill="1" applyBorder="1" applyAlignment="1">
      <alignment horizontal="center" vertical="center" wrapText="1"/>
    </xf>
    <xf numFmtId="0" fontId="21" fillId="24" borderId="69" xfId="26" applyNumberFormat="1" applyFont="1" applyFill="1" applyBorder="1" applyAlignment="1" applyProtection="1">
      <alignment horizontal="center" vertical="center" wrapText="1"/>
    </xf>
    <xf numFmtId="179" fontId="21" fillId="24" borderId="69" xfId="26" applyNumberFormat="1" applyFont="1" applyFill="1" applyBorder="1" applyAlignment="1" applyProtection="1">
      <alignment horizontal="center" vertical="center" wrapText="1"/>
    </xf>
    <xf numFmtId="179" fontId="21" fillId="0" borderId="69" xfId="0" applyNumberFormat="1" applyFont="1" applyFill="1" applyBorder="1" applyAlignment="1">
      <alignment horizontal="center" vertical="center" wrapText="1"/>
    </xf>
    <xf numFmtId="0" fontId="21" fillId="24" borderId="70" xfId="0" applyNumberFormat="1" applyFont="1" applyFill="1" applyBorder="1" applyAlignment="1">
      <alignment horizontal="center" vertical="center" wrapText="1"/>
    </xf>
    <xf numFmtId="0" fontId="21" fillId="24" borderId="62" xfId="0" applyNumberFormat="1" applyFont="1" applyFill="1" applyBorder="1" applyAlignment="1">
      <alignment horizontal="center" vertical="center" wrapText="1"/>
    </xf>
    <xf numFmtId="179" fontId="21" fillId="0" borderId="12" xfId="0" applyNumberFormat="1" applyFont="1" applyFill="1" applyBorder="1" applyAlignment="1">
      <alignment horizontal="left" vertical="center" wrapText="1"/>
    </xf>
    <xf numFmtId="10" fontId="1" fillId="0" borderId="58" xfId="19" applyNumberFormat="1" applyFont="1" applyFill="1" applyBorder="1" applyAlignment="1">
      <alignment horizontal="center" vertical="center"/>
    </xf>
    <xf numFmtId="10" fontId="1" fillId="0" borderId="57" xfId="19" applyNumberFormat="1" applyFont="1" applyFill="1" applyBorder="1" applyAlignment="1">
      <alignment horizontal="center" vertical="center"/>
    </xf>
    <xf numFmtId="0" fontId="20" fillId="4" borderId="61" xfId="0" applyNumberFormat="1" applyFont="1" applyFill="1" applyBorder="1" applyAlignment="1">
      <alignment horizontal="center" vertical="center" wrapText="1"/>
    </xf>
    <xf numFmtId="0" fontId="20" fillId="4" borderId="62" xfId="0" applyNumberFormat="1" applyFont="1" applyFill="1" applyBorder="1" applyAlignment="1">
      <alignment horizontal="center" vertical="center" wrapText="1"/>
    </xf>
    <xf numFmtId="0" fontId="20" fillId="4" borderId="36" xfId="0" applyNumberFormat="1" applyFont="1" applyFill="1" applyBorder="1" applyAlignment="1">
      <alignment horizontal="center" vertical="center" wrapText="1"/>
    </xf>
    <xf numFmtId="0" fontId="21" fillId="24" borderId="48" xfId="0" applyNumberFormat="1" applyFont="1" applyFill="1" applyBorder="1" applyAlignment="1">
      <alignment horizontal="center" vertical="center" wrapText="1"/>
    </xf>
    <xf numFmtId="0" fontId="21" fillId="24" borderId="41" xfId="0" applyNumberFormat="1" applyFont="1" applyFill="1" applyBorder="1" applyAlignment="1">
      <alignment horizontal="center" vertical="center" wrapText="1"/>
    </xf>
    <xf numFmtId="0" fontId="1" fillId="0" borderId="67" xfId="0" applyNumberFormat="1" applyFont="1" applyFill="1" applyBorder="1" applyAlignment="1">
      <alignment horizontal="center" vertical="center" wrapText="1"/>
    </xf>
    <xf numFmtId="0" fontId="1" fillId="0" borderId="56" xfId="0" applyNumberFormat="1" applyFont="1" applyFill="1" applyBorder="1" applyAlignment="1">
      <alignment horizontal="center" vertical="center"/>
    </xf>
    <xf numFmtId="0" fontId="22" fillId="0" borderId="1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vertical="center"/>
    </xf>
    <xf numFmtId="3" fontId="1" fillId="0" borderId="11" xfId="0" applyNumberFormat="1" applyFont="1" applyFill="1" applyBorder="1" applyAlignment="1">
      <alignment horizontal="center" vertical="center"/>
    </xf>
    <xf numFmtId="183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181" fontId="1" fillId="0" borderId="11" xfId="0" applyNumberFormat="1" applyFont="1" applyFill="1" applyBorder="1" applyAlignment="1">
      <alignment horizontal="center" vertical="center"/>
    </xf>
    <xf numFmtId="0" fontId="1" fillId="0" borderId="63" xfId="0" applyNumberFormat="1" applyFont="1" applyFill="1" applyBorder="1" applyAlignment="1">
      <alignment horizontal="center" vertical="center"/>
    </xf>
    <xf numFmtId="0" fontId="1" fillId="0" borderId="64" xfId="0" applyNumberFormat="1" applyFont="1" applyFill="1" applyBorder="1" applyAlignment="1">
      <alignment vertical="center"/>
    </xf>
    <xf numFmtId="0" fontId="1" fillId="0" borderId="64" xfId="0" applyNumberFormat="1" applyFont="1" applyFill="1" applyBorder="1" applyAlignment="1">
      <alignment horizontal="center" vertical="center"/>
    </xf>
    <xf numFmtId="0" fontId="1" fillId="0" borderId="65" xfId="0" applyNumberFormat="1" applyFont="1" applyFill="1" applyBorder="1" applyAlignment="1">
      <alignment horizontal="center" vertical="center"/>
    </xf>
    <xf numFmtId="10" fontId="1" fillId="0" borderId="11" xfId="19" applyNumberFormat="1" applyFont="1" applyFill="1" applyBorder="1" applyAlignment="1">
      <alignment horizontal="center" vertical="center"/>
    </xf>
    <xf numFmtId="10" fontId="1" fillId="0" borderId="11" xfId="0" applyNumberFormat="1" applyFont="1" applyFill="1" applyBorder="1" applyAlignment="1">
      <alignment horizontal="center" vertical="center"/>
    </xf>
    <xf numFmtId="0" fontId="24" fillId="0" borderId="11" xfId="0" applyNumberFormat="1" applyFont="1" applyFill="1" applyBorder="1" applyAlignment="1">
      <alignment horizontal="center" vertical="center"/>
    </xf>
    <xf numFmtId="9" fontId="24" fillId="0" borderId="11" xfId="0" applyNumberFormat="1" applyFont="1" applyFill="1" applyBorder="1" applyAlignment="1">
      <alignment horizontal="center" vertical="center"/>
    </xf>
    <xf numFmtId="10" fontId="24" fillId="0" borderId="11" xfId="0" applyNumberFormat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center"/>
    </xf>
    <xf numFmtId="180" fontId="1" fillId="0" borderId="11" xfId="0" applyNumberFormat="1" applyFont="1" applyFill="1" applyBorder="1" applyAlignment="1">
      <alignment horizontal="center" vertical="center"/>
    </xf>
    <xf numFmtId="9" fontId="1" fillId="0" borderId="11" xfId="0" applyNumberFormat="1" applyFont="1" applyFill="1" applyBorder="1" applyAlignment="1">
      <alignment horizontal="center" vertical="center"/>
    </xf>
    <xf numFmtId="0" fontId="1" fillId="24" borderId="12" xfId="0" applyNumberFormat="1" applyFont="1" applyFill="1" applyBorder="1" applyAlignment="1">
      <alignment horizontal="left" vertical="center" wrapText="1"/>
    </xf>
    <xf numFmtId="181" fontId="24" fillId="0" borderId="11" xfId="0" applyNumberFormat="1" applyFont="1" applyFill="1" applyBorder="1" applyAlignment="1">
      <alignment horizontal="center" vertical="center"/>
    </xf>
    <xf numFmtId="178" fontId="24" fillId="0" borderId="11" xfId="0" applyNumberFormat="1" applyFont="1" applyFill="1" applyBorder="1" applyAlignment="1">
      <alignment horizontal="center" vertical="center"/>
    </xf>
    <xf numFmtId="184" fontId="1" fillId="0" borderId="11" xfId="0" applyNumberFormat="1" applyFont="1" applyFill="1" applyBorder="1" applyAlignment="1">
      <alignment horizontal="center" vertical="center"/>
    </xf>
    <xf numFmtId="181" fontId="1" fillId="0" borderId="0" xfId="0" applyNumberFormat="1" applyFont="1" applyFill="1" applyBorder="1" applyAlignment="1">
      <alignment horizontal="center" vertical="center"/>
    </xf>
    <xf numFmtId="185" fontId="21" fillId="0" borderId="10" xfId="0" applyNumberFormat="1" applyFont="1" applyFill="1" applyBorder="1" applyAlignment="1">
      <alignment horizontal="center" vertical="center" wrapText="1"/>
    </xf>
    <xf numFmtId="185" fontId="21" fillId="0" borderId="14" xfId="0" applyNumberFormat="1" applyFont="1" applyFill="1" applyBorder="1" applyAlignment="1">
      <alignment horizontal="center" vertical="center" wrapText="1"/>
    </xf>
    <xf numFmtId="185" fontId="23" fillId="0" borderId="10" xfId="0" applyNumberFormat="1" applyFont="1" applyFill="1" applyBorder="1" applyAlignment="1">
      <alignment horizontal="center" vertical="center" wrapText="1"/>
    </xf>
    <xf numFmtId="185" fontId="23" fillId="0" borderId="14" xfId="0" applyNumberFormat="1" applyFont="1" applyFill="1" applyBorder="1" applyAlignment="1">
      <alignment horizontal="center" vertical="center" wrapText="1"/>
    </xf>
    <xf numFmtId="185" fontId="21" fillId="24" borderId="10" xfId="0" applyNumberFormat="1" applyFont="1" applyFill="1" applyBorder="1" applyAlignment="1">
      <alignment horizontal="center" vertical="center" wrapText="1"/>
    </xf>
    <xf numFmtId="185" fontId="21" fillId="24" borderId="14" xfId="0" applyNumberFormat="1" applyFont="1" applyFill="1" applyBorder="1" applyAlignment="1">
      <alignment horizontal="center" vertical="center" wrapText="1"/>
    </xf>
    <xf numFmtId="185" fontId="21" fillId="24" borderId="10" xfId="26" applyNumberFormat="1" applyFont="1" applyFill="1" applyBorder="1" applyAlignment="1" applyProtection="1">
      <alignment horizontal="center" vertical="center" wrapText="1"/>
    </xf>
    <xf numFmtId="185" fontId="25" fillId="24" borderId="10" xfId="26" applyNumberFormat="1" applyFont="1" applyFill="1" applyBorder="1" applyAlignment="1" applyProtection="1">
      <alignment horizontal="center" vertical="center" wrapText="1"/>
    </xf>
    <xf numFmtId="185" fontId="21" fillId="24" borderId="44" xfId="0" applyNumberFormat="1" applyFont="1" applyFill="1" applyBorder="1" applyAlignment="1">
      <alignment horizontal="center" vertical="center" wrapText="1"/>
    </xf>
    <xf numFmtId="185" fontId="21" fillId="24" borderId="45" xfId="0" applyNumberFormat="1" applyFont="1" applyFill="1" applyBorder="1" applyAlignment="1">
      <alignment horizontal="center" vertical="center" wrapText="1"/>
    </xf>
    <xf numFmtId="185" fontId="21" fillId="0" borderId="0" xfId="0" applyNumberFormat="1" applyFont="1" applyFill="1" applyBorder="1" applyAlignment="1">
      <alignment vertical="center"/>
    </xf>
    <xf numFmtId="185" fontId="20" fillId="0" borderId="0" xfId="0" applyNumberFormat="1" applyFont="1" applyFill="1" applyBorder="1" applyAlignment="1">
      <alignment vertical="center"/>
    </xf>
    <xf numFmtId="185" fontId="20" fillId="4" borderId="18" xfId="0" applyNumberFormat="1" applyFont="1" applyFill="1" applyBorder="1" applyAlignment="1">
      <alignment horizontal="center" vertical="center" wrapText="1"/>
    </xf>
    <xf numFmtId="185" fontId="21" fillId="24" borderId="0" xfId="0" applyNumberFormat="1" applyFont="1" applyFill="1" applyBorder="1" applyAlignment="1">
      <alignment vertical="center"/>
    </xf>
    <xf numFmtId="185" fontId="20" fillId="4" borderId="36" xfId="0" applyNumberFormat="1" applyFont="1" applyFill="1" applyBorder="1" applyAlignment="1">
      <alignment horizontal="center" vertical="center" wrapText="1"/>
    </xf>
    <xf numFmtId="185" fontId="20" fillId="4" borderId="43" xfId="0" applyNumberFormat="1" applyFont="1" applyFill="1" applyBorder="1" applyAlignment="1">
      <alignment horizontal="center" vertical="center" wrapText="1"/>
    </xf>
    <xf numFmtId="185" fontId="21" fillId="24" borderId="10" xfId="0" applyNumberFormat="1" applyFont="1" applyFill="1" applyBorder="1" applyAlignment="1">
      <alignment horizontal="left" vertical="center" wrapText="1"/>
    </xf>
    <xf numFmtId="185" fontId="21" fillId="0" borderId="12" xfId="0" applyNumberFormat="1" applyFont="1" applyFill="1" applyBorder="1" applyAlignment="1">
      <alignment vertical="center"/>
    </xf>
    <xf numFmtId="185" fontId="21" fillId="0" borderId="12" xfId="0" applyNumberFormat="1" applyFont="1" applyFill="1" applyBorder="1" applyAlignment="1">
      <alignment horizontal="center" vertical="center"/>
    </xf>
    <xf numFmtId="185" fontId="21" fillId="0" borderId="15" xfId="0" applyNumberFormat="1" applyFont="1" applyFill="1" applyBorder="1" applyAlignment="1">
      <alignment horizontal="center" vertical="center"/>
    </xf>
    <xf numFmtId="185" fontId="21" fillId="0" borderId="16" xfId="0" applyNumberFormat="1" applyFont="1" applyFill="1" applyBorder="1" applyAlignment="1">
      <alignment vertical="center"/>
    </xf>
    <xf numFmtId="185" fontId="21" fillId="0" borderId="16" xfId="0" applyNumberFormat="1" applyFont="1" applyFill="1" applyBorder="1" applyAlignment="1">
      <alignment horizontal="center" vertical="center"/>
    </xf>
    <xf numFmtId="185" fontId="21" fillId="0" borderId="17" xfId="0" applyNumberFormat="1" applyFont="1" applyFill="1" applyBorder="1" applyAlignment="1">
      <alignment horizontal="center" vertical="center"/>
    </xf>
    <xf numFmtId="185" fontId="21" fillId="0" borderId="26" xfId="0" applyNumberFormat="1" applyFont="1" applyFill="1" applyBorder="1" applyAlignment="1">
      <alignment vertical="center"/>
    </xf>
    <xf numFmtId="185" fontId="21" fillId="0" borderId="26" xfId="0" applyNumberFormat="1" applyFont="1" applyFill="1" applyBorder="1" applyAlignment="1">
      <alignment horizontal="center" vertical="center"/>
    </xf>
    <xf numFmtId="185" fontId="21" fillId="0" borderId="27" xfId="0" applyNumberFormat="1" applyFont="1" applyFill="1" applyBorder="1" applyAlignment="1">
      <alignment horizontal="center" vertical="center"/>
    </xf>
    <xf numFmtId="185" fontId="21" fillId="0" borderId="29" xfId="0" applyNumberFormat="1" applyFont="1" applyFill="1" applyBorder="1" applyAlignment="1">
      <alignment vertical="center"/>
    </xf>
    <xf numFmtId="185" fontId="21" fillId="0" borderId="29" xfId="0" applyNumberFormat="1" applyFont="1" applyFill="1" applyBorder="1" applyAlignment="1">
      <alignment horizontal="center" vertical="center"/>
    </xf>
    <xf numFmtId="185" fontId="21" fillId="0" borderId="30" xfId="0" applyNumberFormat="1" applyFont="1" applyFill="1" applyBorder="1" applyAlignment="1">
      <alignment horizontal="center" vertical="center"/>
    </xf>
    <xf numFmtId="185" fontId="21" fillId="0" borderId="32" xfId="0" applyNumberFormat="1" applyFont="1" applyFill="1" applyBorder="1" applyAlignment="1">
      <alignment vertical="center"/>
    </xf>
    <xf numFmtId="185" fontId="21" fillId="0" borderId="32" xfId="0" applyNumberFormat="1" applyFont="1" applyFill="1" applyBorder="1" applyAlignment="1">
      <alignment horizontal="center" vertical="center"/>
    </xf>
    <xf numFmtId="185" fontId="21" fillId="0" borderId="33" xfId="0" applyNumberFormat="1" applyFont="1" applyFill="1" applyBorder="1" applyAlignment="1">
      <alignment horizontal="center" vertical="center"/>
    </xf>
    <xf numFmtId="185" fontId="21" fillId="0" borderId="0" xfId="0" applyNumberFormat="1" applyFont="1" applyFill="1" applyBorder="1" applyAlignment="1">
      <alignment horizontal="center" vertical="center"/>
    </xf>
    <xf numFmtId="10" fontId="1" fillId="0" borderId="0" xfId="19" applyNumberFormat="1" applyFont="1" applyBorder="1">
      <alignment vertical="center"/>
    </xf>
    <xf numFmtId="10" fontId="1" fillId="0" borderId="75" xfId="19" applyNumberFormat="1" applyFont="1" applyBorder="1">
      <alignment vertical="center"/>
    </xf>
    <xf numFmtId="185" fontId="21" fillId="0" borderId="40" xfId="0" applyNumberFormat="1" applyFont="1" applyFill="1" applyBorder="1" applyAlignment="1">
      <alignment horizontal="center" vertical="center" wrapText="1"/>
    </xf>
    <xf numFmtId="185" fontId="23" fillId="24" borderId="10" xfId="0" applyNumberFormat="1" applyFont="1" applyFill="1" applyBorder="1" applyAlignment="1">
      <alignment horizontal="center" vertical="center" wrapText="1"/>
    </xf>
    <xf numFmtId="185" fontId="21" fillId="24" borderId="42" xfId="0" applyNumberFormat="1" applyFont="1" applyFill="1" applyBorder="1" applyAlignment="1">
      <alignment horizontal="center" vertical="center" wrapText="1"/>
    </xf>
    <xf numFmtId="185" fontId="21" fillId="24" borderId="66" xfId="0" applyNumberFormat="1" applyFont="1" applyFill="1" applyBorder="1" applyAlignment="1">
      <alignment horizontal="center" vertical="center" wrapText="1"/>
    </xf>
    <xf numFmtId="185" fontId="21" fillId="0" borderId="13" xfId="0" applyNumberFormat="1" applyFont="1" applyFill="1" applyBorder="1" applyAlignment="1">
      <alignment horizontal="center" vertical="center" wrapText="1"/>
    </xf>
    <xf numFmtId="185" fontId="21" fillId="0" borderId="39" xfId="0" applyNumberFormat="1" applyFont="1" applyFill="1" applyBorder="1" applyAlignment="1">
      <alignment horizontal="center" vertical="center" wrapText="1"/>
    </xf>
    <xf numFmtId="185" fontId="21" fillId="24" borderId="12" xfId="0" applyNumberFormat="1" applyFont="1" applyFill="1" applyBorder="1" applyAlignment="1">
      <alignment horizontal="center" vertical="center" wrapText="1"/>
    </xf>
    <xf numFmtId="185" fontId="21" fillId="0" borderId="12" xfId="0" applyNumberFormat="1" applyFont="1" applyFill="1" applyBorder="1" applyAlignment="1">
      <alignment horizontal="center" vertical="center" wrapText="1"/>
    </xf>
    <xf numFmtId="185" fontId="21" fillId="0" borderId="15" xfId="0" applyNumberFormat="1" applyFont="1" applyFill="1" applyBorder="1" applyAlignment="1">
      <alignment horizontal="center" vertical="center" wrapText="1"/>
    </xf>
    <xf numFmtId="185" fontId="21" fillId="24" borderId="15" xfId="0" applyNumberFormat="1" applyFont="1" applyFill="1" applyBorder="1" applyAlignment="1">
      <alignment horizontal="center" vertical="center" wrapText="1"/>
    </xf>
    <xf numFmtId="185" fontId="21" fillId="24" borderId="16" xfId="0" applyNumberFormat="1" applyFont="1" applyFill="1" applyBorder="1" applyAlignment="1">
      <alignment horizontal="center" vertical="center" wrapText="1"/>
    </xf>
    <xf numFmtId="185" fontId="21" fillId="24" borderId="17" xfId="0" applyNumberFormat="1" applyFont="1" applyFill="1" applyBorder="1" applyAlignment="1">
      <alignment horizontal="center" vertical="center" wrapText="1"/>
    </xf>
    <xf numFmtId="10" fontId="1" fillId="0" borderId="54" xfId="19" applyNumberFormat="1" applyFont="1" applyFill="1" applyBorder="1" applyAlignment="1">
      <alignment horizontal="center" vertical="center"/>
    </xf>
    <xf numFmtId="0" fontId="1" fillId="4" borderId="63" xfId="0" applyNumberFormat="1" applyFont="1" applyFill="1" applyBorder="1" applyAlignment="1">
      <alignment horizontal="center" vertical="center"/>
    </xf>
    <xf numFmtId="0" fontId="1" fillId="4" borderId="64" xfId="0" applyNumberFormat="1" applyFont="1" applyFill="1" applyBorder="1" applyAlignment="1">
      <alignment horizontal="center" vertical="center"/>
    </xf>
    <xf numFmtId="0" fontId="1" fillId="4" borderId="65" xfId="0" applyNumberFormat="1" applyFont="1" applyFill="1" applyBorder="1" applyAlignment="1">
      <alignment horizontal="center" vertical="center"/>
    </xf>
    <xf numFmtId="0" fontId="22" fillId="6" borderId="71" xfId="0" applyNumberFormat="1" applyFont="1" applyFill="1" applyBorder="1" applyAlignment="1">
      <alignment horizontal="center" vertical="center"/>
    </xf>
    <xf numFmtId="0" fontId="22" fillId="6" borderId="72" xfId="0" applyNumberFormat="1" applyFont="1" applyFill="1" applyBorder="1" applyAlignment="1">
      <alignment horizontal="center" vertical="center"/>
    </xf>
    <xf numFmtId="0" fontId="22" fillId="6" borderId="73" xfId="0" applyNumberFormat="1" applyFont="1" applyFill="1" applyBorder="1" applyAlignment="1">
      <alignment horizontal="center" vertical="center"/>
    </xf>
    <xf numFmtId="0" fontId="22" fillId="6" borderId="74" xfId="0" applyNumberFormat="1" applyFont="1" applyFill="1" applyBorder="1" applyAlignment="1">
      <alignment horizontal="center" vertical="center"/>
    </xf>
    <xf numFmtId="0" fontId="22" fillId="6" borderId="75" xfId="0" applyNumberFormat="1" applyFont="1" applyFill="1" applyBorder="1" applyAlignment="1">
      <alignment horizontal="center" vertical="center"/>
    </xf>
    <xf numFmtId="0" fontId="22" fillId="6" borderId="45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vertical="center"/>
    </xf>
    <xf numFmtId="0" fontId="26" fillId="0" borderId="76" xfId="0" applyNumberFormat="1" applyFont="1" applyFill="1" applyBorder="1" applyAlignment="1">
      <alignment horizontal="center" vertical="center"/>
    </xf>
    <xf numFmtId="0" fontId="19" fillId="0" borderId="77" xfId="0" applyNumberFormat="1" applyFont="1" applyFill="1" applyBorder="1" applyAlignment="1">
      <alignment horizontal="center" vertical="center"/>
    </xf>
    <xf numFmtId="0" fontId="19" fillId="0" borderId="78" xfId="0" applyNumberFormat="1" applyFont="1" applyFill="1" applyBorder="1" applyAlignment="1">
      <alignment horizontal="center" vertical="center"/>
    </xf>
    <xf numFmtId="0" fontId="20" fillId="4" borderId="79" xfId="0" applyNumberFormat="1" applyFont="1" applyFill="1" applyBorder="1" applyAlignment="1">
      <alignment horizontal="right" vertical="center" wrapText="1"/>
    </xf>
    <xf numFmtId="0" fontId="20" fillId="4" borderId="80" xfId="0" applyNumberFormat="1" applyFont="1" applyFill="1" applyBorder="1" applyAlignment="1">
      <alignment horizontal="right" vertical="center" wrapText="1"/>
    </xf>
    <xf numFmtId="0" fontId="20" fillId="4" borderId="81" xfId="0" applyNumberFormat="1" applyFont="1" applyFill="1" applyBorder="1" applyAlignment="1">
      <alignment horizontal="right" vertical="center" wrapText="1"/>
    </xf>
    <xf numFmtId="0" fontId="20" fillId="4" borderId="82" xfId="0" applyNumberFormat="1" applyFont="1" applyFill="1" applyBorder="1" applyAlignment="1">
      <alignment horizontal="center" vertical="center" wrapText="1"/>
    </xf>
    <xf numFmtId="0" fontId="20" fillId="4" borderId="83" xfId="0" applyNumberFormat="1" applyFont="1" applyFill="1" applyBorder="1" applyAlignment="1">
      <alignment horizontal="center" vertical="center" wrapText="1"/>
    </xf>
    <xf numFmtId="0" fontId="20" fillId="4" borderId="61" xfId="0" applyNumberFormat="1" applyFont="1" applyFill="1" applyBorder="1" applyAlignment="1">
      <alignment horizontal="center" vertical="center" wrapText="1"/>
    </xf>
    <xf numFmtId="0" fontId="20" fillId="4" borderId="62" xfId="0" applyNumberFormat="1" applyFont="1" applyFill="1" applyBorder="1" applyAlignment="1">
      <alignment horizontal="center" vertical="center" wrapText="1"/>
    </xf>
    <xf numFmtId="0" fontId="19" fillId="0" borderId="63" xfId="0" applyNumberFormat="1" applyFont="1" applyFill="1" applyBorder="1" applyAlignment="1">
      <alignment horizontal="center" vertical="center"/>
    </xf>
    <xf numFmtId="0" fontId="19" fillId="0" borderId="64" xfId="0" applyNumberFormat="1" applyFont="1" applyFill="1" applyBorder="1" applyAlignment="1">
      <alignment horizontal="center" vertical="center"/>
    </xf>
    <xf numFmtId="0" fontId="19" fillId="0" borderId="65" xfId="0" applyNumberFormat="1" applyFont="1" applyFill="1" applyBorder="1" applyAlignment="1">
      <alignment horizontal="center" vertical="center"/>
    </xf>
    <xf numFmtId="0" fontId="20" fillId="4" borderId="84" xfId="0" applyNumberFormat="1" applyFont="1" applyFill="1" applyBorder="1" applyAlignment="1">
      <alignment horizontal="right" vertical="center" wrapText="1"/>
    </xf>
    <xf numFmtId="0" fontId="20" fillId="4" borderId="85" xfId="0" applyNumberFormat="1" applyFont="1" applyFill="1" applyBorder="1" applyAlignment="1">
      <alignment horizontal="right" vertical="center" wrapText="1"/>
    </xf>
    <xf numFmtId="0" fontId="20" fillId="4" borderId="86" xfId="0" applyNumberFormat="1" applyFont="1" applyFill="1" applyBorder="1" applyAlignment="1">
      <alignment horizontal="right" vertical="center" wrapText="1"/>
    </xf>
    <xf numFmtId="0" fontId="20" fillId="4" borderId="87" xfId="0" applyNumberFormat="1" applyFont="1" applyFill="1" applyBorder="1" applyAlignment="1">
      <alignment horizontal="center" vertical="center" wrapText="1"/>
    </xf>
    <xf numFmtId="0" fontId="20" fillId="4" borderId="88" xfId="0" applyNumberFormat="1" applyFont="1" applyFill="1" applyBorder="1" applyAlignment="1">
      <alignment horizontal="center" vertical="center" wrapText="1"/>
    </xf>
    <xf numFmtId="0" fontId="20" fillId="4" borderId="89" xfId="0" applyNumberFormat="1" applyFont="1" applyFill="1" applyBorder="1" applyAlignment="1">
      <alignment horizontal="center" vertical="center" wrapText="1"/>
    </xf>
    <xf numFmtId="0" fontId="20" fillId="4" borderId="90" xfId="0" applyNumberFormat="1" applyFont="1" applyFill="1" applyBorder="1" applyAlignment="1">
      <alignment horizontal="center" vertical="center" wrapText="1"/>
    </xf>
    <xf numFmtId="0" fontId="19" fillId="0" borderId="91" xfId="0" applyNumberFormat="1" applyFont="1" applyFill="1" applyBorder="1" applyAlignment="1">
      <alignment horizontal="center" vertical="center"/>
    </xf>
    <xf numFmtId="0" fontId="19" fillId="0" borderId="85" xfId="0" applyNumberFormat="1" applyFont="1" applyFill="1" applyBorder="1" applyAlignment="1">
      <alignment horizontal="center" vertical="center"/>
    </xf>
    <xf numFmtId="0" fontId="19" fillId="0" borderId="86" xfId="0" applyNumberFormat="1" applyFont="1" applyFill="1" applyBorder="1" applyAlignment="1">
      <alignment horizontal="center" vertical="center"/>
    </xf>
    <xf numFmtId="0" fontId="20" fillId="4" borderId="92" xfId="0" applyNumberFormat="1" applyFont="1" applyFill="1" applyBorder="1" applyAlignment="1">
      <alignment horizontal="right" vertical="center" wrapText="1"/>
    </xf>
    <xf numFmtId="0" fontId="20" fillId="4" borderId="93" xfId="0" applyNumberFormat="1" applyFont="1" applyFill="1" applyBorder="1" applyAlignment="1">
      <alignment horizontal="right" vertical="center" wrapText="1"/>
    </xf>
    <xf numFmtId="0" fontId="20" fillId="4" borderId="94" xfId="0" applyNumberFormat="1" applyFont="1" applyFill="1" applyBorder="1" applyAlignment="1">
      <alignment horizontal="right" vertical="center" wrapText="1"/>
    </xf>
    <xf numFmtId="0" fontId="20" fillId="4" borderId="95" xfId="0" applyNumberFormat="1" applyFont="1" applyFill="1" applyBorder="1" applyAlignment="1">
      <alignment horizontal="center" vertical="center" wrapText="1"/>
    </xf>
    <xf numFmtId="0" fontId="20" fillId="4" borderId="96" xfId="0" applyNumberFormat="1" applyFont="1" applyFill="1" applyBorder="1" applyAlignment="1">
      <alignment horizontal="center" vertical="center" wrapText="1"/>
    </xf>
    <xf numFmtId="185" fontId="21" fillId="0" borderId="0" xfId="0" applyNumberFormat="1" applyFont="1" applyFill="1" applyBorder="1" applyAlignment="1">
      <alignment vertical="center"/>
    </xf>
    <xf numFmtId="185" fontId="19" fillId="0" borderId="71" xfId="0" applyNumberFormat="1" applyFont="1" applyFill="1" applyBorder="1" applyAlignment="1">
      <alignment horizontal="center" vertical="center"/>
    </xf>
    <xf numFmtId="185" fontId="19" fillId="0" borderId="72" xfId="0" applyNumberFormat="1" applyFont="1" applyFill="1" applyBorder="1" applyAlignment="1">
      <alignment horizontal="center" vertical="center"/>
    </xf>
    <xf numFmtId="185" fontId="19" fillId="0" borderId="73" xfId="0" applyNumberFormat="1" applyFont="1" applyFill="1" applyBorder="1" applyAlignment="1">
      <alignment horizontal="center" vertical="center"/>
    </xf>
    <xf numFmtId="185" fontId="20" fillId="4" borderId="92" xfId="0" applyNumberFormat="1" applyFont="1" applyFill="1" applyBorder="1" applyAlignment="1">
      <alignment horizontal="right" vertical="center" wrapText="1"/>
    </xf>
    <xf numFmtId="185" fontId="20" fillId="4" borderId="93" xfId="0" applyNumberFormat="1" applyFont="1" applyFill="1" applyBorder="1" applyAlignment="1">
      <alignment horizontal="right" vertical="center" wrapText="1"/>
    </xf>
    <xf numFmtId="185" fontId="20" fillId="4" borderId="94" xfId="0" applyNumberFormat="1" applyFont="1" applyFill="1" applyBorder="1" applyAlignment="1">
      <alignment horizontal="right" vertical="center" wrapText="1"/>
    </xf>
    <xf numFmtId="185" fontId="20" fillId="4" borderId="95" xfId="0" applyNumberFormat="1" applyFont="1" applyFill="1" applyBorder="1" applyAlignment="1">
      <alignment horizontal="center" vertical="center" wrapText="1"/>
    </xf>
    <xf numFmtId="185" fontId="20" fillId="4" borderId="88" xfId="0" applyNumberFormat="1" applyFont="1" applyFill="1" applyBorder="1" applyAlignment="1">
      <alignment horizontal="center" vertical="center" wrapText="1"/>
    </xf>
    <xf numFmtId="185" fontId="20" fillId="4" borderId="97" xfId="0" applyNumberFormat="1" applyFont="1" applyFill="1" applyBorder="1" applyAlignment="1">
      <alignment horizontal="center" vertical="center" wrapText="1"/>
    </xf>
    <xf numFmtId="185" fontId="20" fillId="4" borderId="98" xfId="0" applyNumberFormat="1" applyFont="1" applyFill="1" applyBorder="1" applyAlignment="1">
      <alignment horizontal="center" vertical="center" wrapText="1"/>
    </xf>
    <xf numFmtId="185" fontId="20" fillId="4" borderId="99" xfId="0" applyNumberFormat="1" applyFont="1" applyFill="1" applyBorder="1" applyAlignment="1">
      <alignment horizontal="center" vertical="center" wrapText="1"/>
    </xf>
    <xf numFmtId="185" fontId="20" fillId="4" borderId="36" xfId="0" applyNumberFormat="1" applyFont="1" applyFill="1" applyBorder="1" applyAlignment="1">
      <alignment horizontal="center" vertical="center" wrapText="1"/>
    </xf>
    <xf numFmtId="0" fontId="27" fillId="16" borderId="67" xfId="0" applyNumberFormat="1" applyFont="1" applyFill="1" applyBorder="1" applyAlignment="1">
      <alignment horizontal="center" vertical="center"/>
    </xf>
    <xf numFmtId="0" fontId="27" fillId="16" borderId="55" xfId="0" applyNumberFormat="1" applyFont="1" applyFill="1" applyBorder="1" applyAlignment="1">
      <alignment horizontal="center" vertical="center"/>
    </xf>
    <xf numFmtId="0" fontId="27" fillId="16" borderId="56" xfId="0" applyNumberFormat="1" applyFont="1" applyFill="1" applyBorder="1" applyAlignment="1">
      <alignment horizontal="center" vertical="center"/>
    </xf>
    <xf numFmtId="0" fontId="27" fillId="16" borderId="54" xfId="0" applyNumberFormat="1" applyFont="1" applyFill="1" applyBorder="1" applyAlignment="1">
      <alignment horizontal="center" vertical="center"/>
    </xf>
    <xf numFmtId="0" fontId="27" fillId="16" borderId="58" xfId="0" applyNumberFormat="1" applyFont="1" applyFill="1" applyBorder="1" applyAlignment="1">
      <alignment horizontal="center" vertical="center"/>
    </xf>
    <xf numFmtId="0" fontId="27" fillId="16" borderId="60" xfId="0" applyNumberFormat="1" applyFont="1" applyFill="1" applyBorder="1" applyAlignment="1">
      <alignment horizontal="center" vertical="center"/>
    </xf>
    <xf numFmtId="0" fontId="27" fillId="16" borderId="71" xfId="0" applyNumberFormat="1" applyFont="1" applyFill="1" applyBorder="1" applyAlignment="1">
      <alignment horizontal="center" vertical="center"/>
    </xf>
    <xf numFmtId="0" fontId="27" fillId="16" borderId="72" xfId="0" applyNumberFormat="1" applyFont="1" applyFill="1" applyBorder="1" applyAlignment="1">
      <alignment horizontal="center" vertical="center"/>
    </xf>
    <xf numFmtId="0" fontId="27" fillId="16" borderId="73" xfId="0" applyNumberFormat="1" applyFont="1" applyFill="1" applyBorder="1" applyAlignment="1">
      <alignment horizontal="center" vertical="center"/>
    </xf>
    <xf numFmtId="0" fontId="27" fillId="16" borderId="74" xfId="0" applyNumberFormat="1" applyFont="1" applyFill="1" applyBorder="1" applyAlignment="1">
      <alignment horizontal="center" vertical="center"/>
    </xf>
    <xf numFmtId="0" fontId="27" fillId="16" borderId="75" xfId="0" applyNumberFormat="1" applyFont="1" applyFill="1" applyBorder="1" applyAlignment="1">
      <alignment horizontal="center" vertical="center"/>
    </xf>
    <xf numFmtId="0" fontId="27" fillId="16" borderId="45" xfId="0" applyNumberFormat="1" applyFont="1" applyFill="1" applyBorder="1" applyAlignment="1">
      <alignment horizontal="center" vertical="center"/>
    </xf>
    <xf numFmtId="186" fontId="21" fillId="24" borderId="38" xfId="0" applyNumberFormat="1" applyFont="1" applyFill="1" applyBorder="1" applyAlignment="1">
      <alignment horizontal="center" vertical="center" wrapText="1"/>
    </xf>
    <xf numFmtId="186" fontId="21" fillId="0" borderId="41" xfId="0" applyNumberFormat="1" applyFont="1" applyFill="1" applyBorder="1" applyAlignment="1">
      <alignment horizontal="center" vertical="center"/>
    </xf>
    <xf numFmtId="186" fontId="21" fillId="0" borderId="28" xfId="0" applyNumberFormat="1" applyFont="1" applyFill="1" applyBorder="1" applyAlignment="1">
      <alignment horizontal="center" vertical="center"/>
    </xf>
    <xf numFmtId="186" fontId="21" fillId="0" borderId="31" xfId="0" applyNumberFormat="1" applyFont="1" applyFill="1" applyBorder="1" applyAlignment="1">
      <alignment horizontal="center" vertical="center"/>
    </xf>
    <xf numFmtId="187" fontId="21" fillId="24" borderId="38" xfId="0" applyNumberFormat="1" applyFont="1" applyFill="1" applyBorder="1" applyAlignment="1">
      <alignment horizontal="center" vertical="center" wrapText="1"/>
    </xf>
    <xf numFmtId="187" fontId="21" fillId="0" borderId="47" xfId="0" applyNumberFormat="1" applyFont="1" applyFill="1" applyBorder="1" applyAlignment="1">
      <alignment horizontal="center" vertical="center"/>
    </xf>
    <xf numFmtId="187" fontId="21" fillId="0" borderId="25" xfId="0" applyNumberFormat="1" applyFont="1" applyFill="1" applyBorder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百分比" xfId="19" builtinId="5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Profit &amp; Loss_1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0"/>
          <c:order val="0"/>
          <c:tx>
            <c:strRef>
              <c:f>'Sensitivity Analysis'!$C$8</c:f>
              <c:strCache>
                <c:ptCount val="1"/>
                <c:pt idx="0">
                  <c:v>Total static investment</c:v>
                </c:pt>
              </c:strCache>
            </c:strRef>
          </c:tx>
          <c:cat>
            <c:numRef>
              <c:f>'Sensitivity Analysis'!$D$7:$L$7</c:f>
              <c:numCache>
                <c:formatCode>0.00%</c:formatCode>
                <c:ptCount val="9"/>
                <c:pt idx="0" formatCode="0%">
                  <c:v>-0.1</c:v>
                </c:pt>
                <c:pt idx="1">
                  <c:v>-7.4999999999999997E-2</c:v>
                </c:pt>
                <c:pt idx="2" formatCode="0%">
                  <c:v>-0.05</c:v>
                </c:pt>
                <c:pt idx="3">
                  <c:v>-2.5000000000000001E-2</c:v>
                </c:pt>
                <c:pt idx="4" formatCode="General">
                  <c:v>0</c:v>
                </c:pt>
                <c:pt idx="5">
                  <c:v>2.5000000000000001E-2</c:v>
                </c:pt>
                <c:pt idx="6" formatCode="0%">
                  <c:v>0.05</c:v>
                </c:pt>
                <c:pt idx="7">
                  <c:v>7.4999999999999997E-2</c:v>
                </c:pt>
                <c:pt idx="8" formatCode="0%">
                  <c:v>0.1</c:v>
                </c:pt>
              </c:numCache>
            </c:numRef>
          </c:cat>
          <c:val>
            <c:numRef>
              <c:f>'Sensitivity Analysis'!$D$8:$L$8</c:f>
              <c:numCache>
                <c:formatCode>0.00%</c:formatCode>
                <c:ptCount val="9"/>
                <c:pt idx="0">
                  <c:v>8.7599999999999997E-2</c:v>
                </c:pt>
                <c:pt idx="1">
                  <c:v>8.4000000000000005E-2</c:v>
                </c:pt>
                <c:pt idx="2">
                  <c:v>7.9899999999999999E-2</c:v>
                </c:pt>
                <c:pt idx="3">
                  <c:v>7.6300000000000007E-2</c:v>
                </c:pt>
                <c:pt idx="4">
                  <c:v>7.2648323301185688E-2</c:v>
                </c:pt>
                <c:pt idx="5">
                  <c:v>6.9099999999999995E-2</c:v>
                </c:pt>
                <c:pt idx="6">
                  <c:v>6.59E-2</c:v>
                </c:pt>
                <c:pt idx="7">
                  <c:v>6.2700000000000006E-2</c:v>
                </c:pt>
                <c:pt idx="8">
                  <c:v>5.9499999999999997E-2</c:v>
                </c:pt>
              </c:numCache>
            </c:numRef>
          </c:val>
        </c:ser>
        <c:ser>
          <c:idx val="1"/>
          <c:order val="1"/>
          <c:tx>
            <c:strRef>
              <c:f>'Sensitivity Analysis'!$C$9</c:f>
              <c:strCache>
                <c:ptCount val="1"/>
                <c:pt idx="0">
                  <c:v>Annual net power generation</c:v>
                </c:pt>
              </c:strCache>
            </c:strRef>
          </c:tx>
          <c:cat>
            <c:numRef>
              <c:f>'Sensitivity Analysis'!$D$7:$L$7</c:f>
              <c:numCache>
                <c:formatCode>0.00%</c:formatCode>
                <c:ptCount val="9"/>
                <c:pt idx="0" formatCode="0%">
                  <c:v>-0.1</c:v>
                </c:pt>
                <c:pt idx="1">
                  <c:v>-7.4999999999999997E-2</c:v>
                </c:pt>
                <c:pt idx="2" formatCode="0%">
                  <c:v>-0.05</c:v>
                </c:pt>
                <c:pt idx="3">
                  <c:v>-2.5000000000000001E-2</c:v>
                </c:pt>
                <c:pt idx="4" formatCode="General">
                  <c:v>0</c:v>
                </c:pt>
                <c:pt idx="5">
                  <c:v>2.5000000000000001E-2</c:v>
                </c:pt>
                <c:pt idx="6" formatCode="0%">
                  <c:v>0.05</c:v>
                </c:pt>
                <c:pt idx="7">
                  <c:v>7.4999999999999997E-2</c:v>
                </c:pt>
                <c:pt idx="8" formatCode="0%">
                  <c:v>0.1</c:v>
                </c:pt>
              </c:numCache>
            </c:numRef>
          </c:cat>
          <c:val>
            <c:numRef>
              <c:f>'Sensitivity Analysis'!$D$9:$L$9</c:f>
              <c:numCache>
                <c:formatCode>0.00%</c:formatCode>
                <c:ptCount val="9"/>
                <c:pt idx="0">
                  <c:v>5.7700000000000001E-2</c:v>
                </c:pt>
                <c:pt idx="1">
                  <c:v>6.1499999999999999E-2</c:v>
                </c:pt>
                <c:pt idx="2">
                  <c:v>6.5299999999999997E-2</c:v>
                </c:pt>
                <c:pt idx="3">
                  <c:v>6.8900000000000003E-2</c:v>
                </c:pt>
                <c:pt idx="4">
                  <c:v>7.2648323301185688E-2</c:v>
                </c:pt>
                <c:pt idx="5">
                  <c:v>7.6300000000000007E-2</c:v>
                </c:pt>
                <c:pt idx="6">
                  <c:v>7.9799999999999996E-2</c:v>
                </c:pt>
                <c:pt idx="7">
                  <c:v>8.3500000000000005E-2</c:v>
                </c:pt>
                <c:pt idx="8">
                  <c:v>8.6900000000000005E-2</c:v>
                </c:pt>
              </c:numCache>
            </c:numRef>
          </c:val>
        </c:ser>
        <c:ser>
          <c:idx val="2"/>
          <c:order val="2"/>
          <c:tx>
            <c:strRef>
              <c:f>'Sensitivity Analysis'!$C$10</c:f>
              <c:strCache>
                <c:ptCount val="1"/>
                <c:pt idx="0">
                  <c:v>On-grid tariff (Including VAT)</c:v>
                </c:pt>
              </c:strCache>
            </c:strRef>
          </c:tx>
          <c:cat>
            <c:numRef>
              <c:f>'Sensitivity Analysis'!$D$7:$L$7</c:f>
              <c:numCache>
                <c:formatCode>0.00%</c:formatCode>
                <c:ptCount val="9"/>
                <c:pt idx="0" formatCode="0%">
                  <c:v>-0.1</c:v>
                </c:pt>
                <c:pt idx="1">
                  <c:v>-7.4999999999999997E-2</c:v>
                </c:pt>
                <c:pt idx="2" formatCode="0%">
                  <c:v>-0.05</c:v>
                </c:pt>
                <c:pt idx="3">
                  <c:v>-2.5000000000000001E-2</c:v>
                </c:pt>
                <c:pt idx="4" formatCode="General">
                  <c:v>0</c:v>
                </c:pt>
                <c:pt idx="5">
                  <c:v>2.5000000000000001E-2</c:v>
                </c:pt>
                <c:pt idx="6" formatCode="0%">
                  <c:v>0.05</c:v>
                </c:pt>
                <c:pt idx="7">
                  <c:v>7.4999999999999997E-2</c:v>
                </c:pt>
                <c:pt idx="8" formatCode="0%">
                  <c:v>0.1</c:v>
                </c:pt>
              </c:numCache>
            </c:numRef>
          </c:cat>
          <c:val>
            <c:numRef>
              <c:f>'Sensitivity Analysis'!$D$10:$L$10</c:f>
              <c:numCache>
                <c:formatCode>0.00%</c:formatCode>
                <c:ptCount val="9"/>
                <c:pt idx="0">
                  <c:v>5.6599999999999998E-2</c:v>
                </c:pt>
                <c:pt idx="1">
                  <c:v>6.0499999999999998E-2</c:v>
                </c:pt>
                <c:pt idx="2">
                  <c:v>6.4699999999999994E-2</c:v>
                </c:pt>
                <c:pt idx="3">
                  <c:v>6.8599999999999994E-2</c:v>
                </c:pt>
                <c:pt idx="4">
                  <c:v>7.2648323301185688E-2</c:v>
                </c:pt>
                <c:pt idx="5">
                  <c:v>7.6600000000000001E-2</c:v>
                </c:pt>
                <c:pt idx="6">
                  <c:v>8.0399999999999999E-2</c:v>
                </c:pt>
                <c:pt idx="7">
                  <c:v>8.4400000000000003E-2</c:v>
                </c:pt>
                <c:pt idx="8">
                  <c:v>8.77E-2</c:v>
                </c:pt>
              </c:numCache>
            </c:numRef>
          </c:val>
        </c:ser>
        <c:ser>
          <c:idx val="3"/>
          <c:order val="3"/>
          <c:tx>
            <c:strRef>
              <c:f>'Sensitivity Analysis'!$C$11</c:f>
              <c:strCache>
                <c:ptCount val="1"/>
                <c:pt idx="0">
                  <c:v>Annual O&amp;M cost</c:v>
                </c:pt>
              </c:strCache>
            </c:strRef>
          </c:tx>
          <c:cat>
            <c:numRef>
              <c:f>'Sensitivity Analysis'!$D$7:$L$7</c:f>
              <c:numCache>
                <c:formatCode>0.00%</c:formatCode>
                <c:ptCount val="9"/>
                <c:pt idx="0" formatCode="0%">
                  <c:v>-0.1</c:v>
                </c:pt>
                <c:pt idx="1">
                  <c:v>-7.4999999999999997E-2</c:v>
                </c:pt>
                <c:pt idx="2" formatCode="0%">
                  <c:v>-0.05</c:v>
                </c:pt>
                <c:pt idx="3">
                  <c:v>-2.5000000000000001E-2</c:v>
                </c:pt>
                <c:pt idx="4" formatCode="General">
                  <c:v>0</c:v>
                </c:pt>
                <c:pt idx="5">
                  <c:v>2.5000000000000001E-2</c:v>
                </c:pt>
                <c:pt idx="6" formatCode="0%">
                  <c:v>0.05</c:v>
                </c:pt>
                <c:pt idx="7">
                  <c:v>7.4999999999999997E-2</c:v>
                </c:pt>
                <c:pt idx="8" formatCode="0%">
                  <c:v>0.1</c:v>
                </c:pt>
              </c:numCache>
            </c:numRef>
          </c:cat>
          <c:val>
            <c:numRef>
              <c:f>'Sensitivity Analysis'!$D$11:$L$11</c:f>
              <c:numCache>
                <c:formatCode>0.00%</c:formatCode>
                <c:ptCount val="9"/>
                <c:pt idx="0">
                  <c:v>7.6399999999999996E-2</c:v>
                </c:pt>
                <c:pt idx="1">
                  <c:v>7.5499999999999998E-2</c:v>
                </c:pt>
                <c:pt idx="2">
                  <c:v>7.46E-2</c:v>
                </c:pt>
                <c:pt idx="3">
                  <c:v>7.3599999999999999E-2</c:v>
                </c:pt>
                <c:pt idx="4">
                  <c:v>7.2648323301185688E-2</c:v>
                </c:pt>
                <c:pt idx="5">
                  <c:v>7.17E-2</c:v>
                </c:pt>
                <c:pt idx="6">
                  <c:v>7.0800000000000002E-2</c:v>
                </c:pt>
                <c:pt idx="7">
                  <c:v>6.9800000000000001E-2</c:v>
                </c:pt>
                <c:pt idx="8">
                  <c:v>6.88E-2</c:v>
                </c:pt>
              </c:numCache>
            </c:numRef>
          </c:val>
        </c:ser>
        <c:marker val="1"/>
        <c:axId val="67579904"/>
        <c:axId val="67581440"/>
      </c:lineChart>
      <c:catAx>
        <c:axId val="67579904"/>
        <c:scaling>
          <c:orientation val="minMax"/>
        </c:scaling>
        <c:axPos val="b"/>
        <c:numFmt formatCode="0%" sourceLinked="1"/>
        <c:tickLblPos val="nextTo"/>
        <c:crossAx val="67581440"/>
        <c:crosses val="autoZero"/>
        <c:auto val="1"/>
        <c:lblAlgn val="ctr"/>
        <c:lblOffset val="100"/>
      </c:catAx>
      <c:valAx>
        <c:axId val="67581440"/>
        <c:scaling>
          <c:orientation val="minMax"/>
          <c:min val="0.05"/>
        </c:scaling>
        <c:axPos val="l"/>
        <c:majorGridlines/>
        <c:numFmt formatCode="0.00%" sourceLinked="1"/>
        <c:tickLblPos val="nextTo"/>
        <c:crossAx val="67579904"/>
        <c:crosses val="autoZero"/>
        <c:crossBetween val="midCat"/>
        <c:majorUnit val="1.0000000000000005E-2"/>
      </c:valAx>
      <c:spPr>
        <a:ln>
          <a:solidFill>
            <a:schemeClr val="accent1"/>
          </a:solidFill>
        </a:ln>
      </c:spPr>
    </c:plotArea>
    <c:legend>
      <c:legendPos val="b"/>
      <c:layout/>
    </c:legend>
    <c:plotVisOnly val="1"/>
    <c:dispBlanksAs val="gap"/>
  </c:chart>
  <c:spPr>
    <a:ln cmpd="sng">
      <a:solidFill>
        <a:schemeClr val="tx1"/>
      </a:solidFill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14</xdr:row>
      <xdr:rowOff>152400</xdr:rowOff>
    </xdr:from>
    <xdr:to>
      <xdr:col>11</xdr:col>
      <xdr:colOff>590550</xdr:colOff>
      <xdr:row>29</xdr:row>
      <xdr:rowOff>9525</xdr:rowOff>
    </xdr:to>
    <xdr:graphicFrame macro="">
      <xdr:nvGraphicFramePr>
        <xdr:cNvPr id="7277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54"/>
  <sheetViews>
    <sheetView topLeftCell="A22" zoomScaleSheetLayoutView="100" workbookViewId="0">
      <selection activeCell="J41" sqref="J41"/>
    </sheetView>
  </sheetViews>
  <sheetFormatPr defaultRowHeight="20.100000000000001" customHeight="1"/>
  <cols>
    <col min="1" max="2" width="9" style="1" customWidth="1"/>
    <col min="3" max="3" width="37.375" style="1" customWidth="1"/>
    <col min="4" max="4" width="11.75" style="7" customWidth="1"/>
    <col min="5" max="5" width="9.5" style="7" customWidth="1"/>
    <col min="6" max="6" width="12.25" style="1" customWidth="1"/>
    <col min="7" max="7" width="9" style="1" customWidth="1"/>
    <col min="8" max="8" width="20.25" style="1" customWidth="1"/>
    <col min="9" max="9" width="7.75" style="1" customWidth="1"/>
    <col min="10" max="10" width="20.25" style="1" customWidth="1"/>
    <col min="11" max="11" width="9" style="1" bestFit="1"/>
    <col min="12" max="16384" width="9" style="1"/>
  </cols>
  <sheetData>
    <row r="2" spans="2:11" ht="20.100000000000001" customHeight="1">
      <c r="B2" s="155" t="s">
        <v>133</v>
      </c>
      <c r="C2" s="156"/>
      <c r="D2" s="156"/>
      <c r="E2" s="156"/>
      <c r="F2" s="157"/>
    </row>
    <row r="3" spans="2:11" ht="20.100000000000001" customHeight="1">
      <c r="B3" s="158"/>
      <c r="C3" s="159"/>
      <c r="D3" s="159"/>
      <c r="E3" s="159"/>
      <c r="F3" s="160"/>
    </row>
    <row r="4" spans="2:11" ht="20.100000000000001" customHeight="1">
      <c r="B4" s="79" t="s">
        <v>0</v>
      </c>
      <c r="C4" s="79" t="s">
        <v>1</v>
      </c>
      <c r="D4" s="79" t="s">
        <v>2</v>
      </c>
      <c r="E4" s="79" t="s">
        <v>3</v>
      </c>
      <c r="F4" s="79" t="s">
        <v>4</v>
      </c>
      <c r="I4" s="80"/>
    </row>
    <row r="5" spans="2:11" ht="20.100000000000001" customHeight="1">
      <c r="B5" s="152" t="s">
        <v>5</v>
      </c>
      <c r="C5" s="153"/>
      <c r="D5" s="153"/>
      <c r="E5" s="153"/>
      <c r="F5" s="154"/>
    </row>
    <row r="6" spans="2:11" ht="20.100000000000001" customHeight="1">
      <c r="B6" s="81">
        <v>1</v>
      </c>
      <c r="C6" s="82" t="s">
        <v>6</v>
      </c>
      <c r="D6" s="81" t="s">
        <v>7</v>
      </c>
      <c r="E6" s="81">
        <v>49.5</v>
      </c>
      <c r="F6" s="81" t="s">
        <v>8</v>
      </c>
    </row>
    <row r="7" spans="2:11" ht="20.100000000000001" customHeight="1">
      <c r="B7" s="81">
        <v>2</v>
      </c>
      <c r="C7" s="82" t="s">
        <v>134</v>
      </c>
      <c r="D7" s="81" t="s">
        <v>10</v>
      </c>
      <c r="E7" s="83">
        <f>103990*'Sensitivity Analysis'!O9</f>
        <v>103990</v>
      </c>
      <c r="F7" s="81" t="s">
        <v>8</v>
      </c>
      <c r="G7" s="84"/>
    </row>
    <row r="8" spans="2:11" ht="20.100000000000001" customHeight="1">
      <c r="B8" s="81">
        <v>3</v>
      </c>
      <c r="C8" s="82" t="s">
        <v>11</v>
      </c>
      <c r="D8" s="81" t="s">
        <v>12</v>
      </c>
      <c r="E8" s="81">
        <f>0.61*'Sensitivity Analysis'!O10</f>
        <v>0.61</v>
      </c>
      <c r="F8" s="81" t="s">
        <v>8</v>
      </c>
      <c r="J8" s="85"/>
    </row>
    <row r="9" spans="2:11" ht="20.100000000000001" customHeight="1">
      <c r="B9" s="81">
        <v>4</v>
      </c>
      <c r="C9" s="82" t="s">
        <v>13</v>
      </c>
      <c r="D9" s="81" t="s">
        <v>12</v>
      </c>
      <c r="E9" s="86">
        <f>E8/(1+E41)</f>
        <v>0.5213675213675214</v>
      </c>
      <c r="F9" s="81" t="s">
        <v>14</v>
      </c>
      <c r="H9" s="85"/>
    </row>
    <row r="10" spans="2:11" ht="20.100000000000001" customHeight="1">
      <c r="B10" s="152" t="s">
        <v>15</v>
      </c>
      <c r="C10" s="153"/>
      <c r="D10" s="153"/>
      <c r="E10" s="153"/>
      <c r="F10" s="154"/>
      <c r="J10" s="80"/>
    </row>
    <row r="11" spans="2:11" ht="20.100000000000001" customHeight="1">
      <c r="B11" s="81">
        <v>5</v>
      </c>
      <c r="C11" s="82" t="s">
        <v>16</v>
      </c>
      <c r="D11" s="81" t="s">
        <v>17</v>
      </c>
      <c r="E11" s="83">
        <f>E12+E13</f>
        <v>48082</v>
      </c>
      <c r="F11" s="81" t="s">
        <v>8</v>
      </c>
      <c r="H11" s="80"/>
      <c r="I11" s="80"/>
      <c r="K11" s="80"/>
    </row>
    <row r="12" spans="2:11" ht="20.100000000000001" customHeight="1">
      <c r="B12" s="81">
        <v>6</v>
      </c>
      <c r="C12" s="82" t="s">
        <v>18</v>
      </c>
      <c r="D12" s="81" t="s">
        <v>17</v>
      </c>
      <c r="E12" s="83">
        <f>46901*'Sensitivity Analysis'!O8</f>
        <v>46901</v>
      </c>
      <c r="F12" s="81" t="s">
        <v>8</v>
      </c>
      <c r="K12" s="80"/>
    </row>
    <row r="13" spans="2:11" ht="20.100000000000001" customHeight="1">
      <c r="B13" s="81">
        <v>7</v>
      </c>
      <c r="C13" s="82" t="s">
        <v>19</v>
      </c>
      <c r="D13" s="81" t="s">
        <v>17</v>
      </c>
      <c r="E13" s="83">
        <f>1181*'Sensitivity Analysis'!O8</f>
        <v>1181</v>
      </c>
      <c r="F13" s="81" t="s">
        <v>8</v>
      </c>
      <c r="I13" s="80"/>
      <c r="K13" s="85"/>
    </row>
    <row r="14" spans="2:11" ht="20.100000000000001" customHeight="1">
      <c r="B14" s="87">
        <v>8</v>
      </c>
      <c r="C14" s="88" t="s">
        <v>127</v>
      </c>
      <c r="D14" s="81" t="s">
        <v>17</v>
      </c>
      <c r="E14" s="89">
        <v>135</v>
      </c>
      <c r="F14" s="90" t="s">
        <v>8</v>
      </c>
    </row>
    <row r="15" spans="2:11" ht="20.100000000000001" customHeight="1">
      <c r="B15" s="152" t="s">
        <v>21</v>
      </c>
      <c r="C15" s="153"/>
      <c r="D15" s="153"/>
      <c r="E15" s="153"/>
      <c r="F15" s="154"/>
    </row>
    <row r="16" spans="2:11" ht="20.100000000000001" customHeight="1">
      <c r="B16" s="81">
        <v>9</v>
      </c>
      <c r="C16" s="82" t="s">
        <v>22</v>
      </c>
      <c r="D16" s="81" t="s">
        <v>17</v>
      </c>
      <c r="E16" s="83">
        <f>38485*'Sensitivity Analysis'!O8</f>
        <v>38485</v>
      </c>
      <c r="F16" s="81" t="s">
        <v>8</v>
      </c>
      <c r="H16" s="85"/>
    </row>
    <row r="17" spans="2:11" ht="20.100000000000001" customHeight="1">
      <c r="B17" s="81">
        <v>9.1</v>
      </c>
      <c r="C17" s="82" t="s">
        <v>23</v>
      </c>
      <c r="D17" s="81" t="s">
        <v>17</v>
      </c>
      <c r="E17" s="83">
        <f>E16</f>
        <v>38485</v>
      </c>
      <c r="F17" s="81" t="s">
        <v>8</v>
      </c>
      <c r="I17" s="80"/>
      <c r="K17" s="80"/>
    </row>
    <row r="18" spans="2:11" ht="20.100000000000001" customHeight="1">
      <c r="B18" s="81">
        <v>9.1999999999999993</v>
      </c>
      <c r="C18" s="82" t="s">
        <v>24</v>
      </c>
      <c r="D18" s="81" t="s">
        <v>17</v>
      </c>
      <c r="E18" s="83">
        <v>0</v>
      </c>
      <c r="F18" s="81" t="s">
        <v>8</v>
      </c>
      <c r="K18" s="80"/>
    </row>
    <row r="19" spans="2:11" ht="20.100000000000001" customHeight="1">
      <c r="B19" s="81">
        <v>10</v>
      </c>
      <c r="C19" s="82" t="s">
        <v>25</v>
      </c>
      <c r="D19" s="81"/>
      <c r="E19" s="91">
        <v>6.1400000000000003E-2</v>
      </c>
      <c r="F19" s="81" t="s">
        <v>8</v>
      </c>
      <c r="I19" s="80"/>
      <c r="K19" s="80"/>
    </row>
    <row r="20" spans="2:11" ht="20.100000000000001" customHeight="1">
      <c r="B20" s="81">
        <v>11</v>
      </c>
      <c r="C20" s="82" t="s">
        <v>26</v>
      </c>
      <c r="D20" s="81" t="s">
        <v>17</v>
      </c>
      <c r="E20" s="81">
        <f>E14*70%</f>
        <v>94.5</v>
      </c>
      <c r="F20" s="81" t="s">
        <v>8</v>
      </c>
    </row>
    <row r="21" spans="2:11" ht="20.100000000000001" customHeight="1">
      <c r="B21" s="81">
        <v>12</v>
      </c>
      <c r="C21" s="82" t="s">
        <v>27</v>
      </c>
      <c r="D21" s="81"/>
      <c r="E21" s="92">
        <v>5.5599999999999997E-2</v>
      </c>
      <c r="F21" s="81" t="s">
        <v>8</v>
      </c>
    </row>
    <row r="22" spans="2:11" ht="20.100000000000001" customHeight="1">
      <c r="B22" s="152" t="s">
        <v>28</v>
      </c>
      <c r="C22" s="153"/>
      <c r="D22" s="153"/>
      <c r="E22" s="153"/>
      <c r="F22" s="154"/>
    </row>
    <row r="23" spans="2:11" ht="20.100000000000001" customHeight="1">
      <c r="B23" s="81">
        <v>13</v>
      </c>
      <c r="C23" s="82" t="s">
        <v>29</v>
      </c>
      <c r="D23" s="81" t="s">
        <v>30</v>
      </c>
      <c r="E23" s="81">
        <v>20</v>
      </c>
      <c r="F23" s="81" t="s">
        <v>8</v>
      </c>
    </row>
    <row r="24" spans="2:11" ht="20.100000000000001" customHeight="1">
      <c r="B24" s="81">
        <v>14</v>
      </c>
      <c r="C24" s="82" t="s">
        <v>149</v>
      </c>
      <c r="D24" s="81" t="s">
        <v>17</v>
      </c>
      <c r="E24" s="93">
        <v>6</v>
      </c>
      <c r="F24" s="81" t="s">
        <v>8</v>
      </c>
    </row>
    <row r="25" spans="2:11" ht="20.100000000000001" customHeight="1">
      <c r="B25" s="81">
        <v>15</v>
      </c>
      <c r="C25" s="82" t="s">
        <v>150</v>
      </c>
      <c r="D25" s="81"/>
      <c r="E25" s="94">
        <v>0.54</v>
      </c>
      <c r="F25" s="81" t="s">
        <v>8</v>
      </c>
    </row>
    <row r="26" spans="2:11" ht="20.100000000000001" customHeight="1">
      <c r="B26" s="81">
        <v>16</v>
      </c>
      <c r="C26" s="82" t="s">
        <v>135</v>
      </c>
      <c r="D26" s="81"/>
      <c r="E26" s="95"/>
      <c r="F26" s="81"/>
    </row>
    <row r="27" spans="2:11" ht="20.100000000000001" customHeight="1">
      <c r="B27" s="81"/>
      <c r="C27" s="82" t="s">
        <v>136</v>
      </c>
      <c r="D27" s="81"/>
      <c r="E27" s="95">
        <v>5.7000000000000002E-3</v>
      </c>
      <c r="F27" s="81" t="s">
        <v>137</v>
      </c>
    </row>
    <row r="28" spans="2:11" ht="20.100000000000001" customHeight="1">
      <c r="B28" s="81"/>
      <c r="C28" s="82" t="s">
        <v>138</v>
      </c>
      <c r="D28" s="81"/>
      <c r="E28" s="95">
        <v>1.0800000000000001E-2</v>
      </c>
      <c r="F28" s="81" t="s">
        <v>137</v>
      </c>
    </row>
    <row r="29" spans="2:11" ht="20.100000000000001" customHeight="1">
      <c r="B29" s="81"/>
      <c r="C29" s="82" t="s">
        <v>139</v>
      </c>
      <c r="D29" s="81"/>
      <c r="E29" s="95">
        <v>1.2500000000000001E-2</v>
      </c>
      <c r="F29" s="81" t="s">
        <v>8</v>
      </c>
    </row>
    <row r="30" spans="2:11" ht="20.100000000000001" customHeight="1">
      <c r="B30" s="81"/>
      <c r="C30" s="82" t="s">
        <v>140</v>
      </c>
      <c r="D30" s="81"/>
      <c r="E30" s="95">
        <v>0.02</v>
      </c>
      <c r="F30" s="81" t="s">
        <v>8</v>
      </c>
    </row>
    <row r="31" spans="2:11" ht="20.100000000000001" customHeight="1">
      <c r="B31" s="81"/>
      <c r="C31" s="82" t="s">
        <v>141</v>
      </c>
      <c r="D31" s="81"/>
      <c r="E31" s="95">
        <v>2.5700000000000001E-2</v>
      </c>
      <c r="F31" s="81" t="s">
        <v>8</v>
      </c>
    </row>
    <row r="32" spans="2:11" ht="20.100000000000001" customHeight="1">
      <c r="B32" s="81">
        <v>17</v>
      </c>
      <c r="C32" s="82" t="s">
        <v>31</v>
      </c>
      <c r="D32" s="81"/>
      <c r="E32" s="92">
        <v>2.5000000000000001E-3</v>
      </c>
      <c r="F32" s="81" t="s">
        <v>8</v>
      </c>
    </row>
    <row r="33" spans="2:6" ht="20.100000000000001" customHeight="1">
      <c r="B33" s="81">
        <v>18</v>
      </c>
      <c r="C33" s="82" t="s">
        <v>32</v>
      </c>
      <c r="D33" s="81" t="s">
        <v>142</v>
      </c>
      <c r="E33" s="81">
        <v>10</v>
      </c>
      <c r="F33" s="81" t="s">
        <v>8</v>
      </c>
    </row>
    <row r="34" spans="2:6" ht="20.100000000000001" customHeight="1">
      <c r="B34" s="81">
        <v>19</v>
      </c>
      <c r="C34" s="82" t="s">
        <v>33</v>
      </c>
      <c r="D34" s="81" t="s">
        <v>142</v>
      </c>
      <c r="E34" s="81">
        <v>30</v>
      </c>
      <c r="F34" s="81" t="s">
        <v>8</v>
      </c>
    </row>
    <row r="35" spans="2:6" ht="20.100000000000001" customHeight="1">
      <c r="B35" s="152" t="s">
        <v>34</v>
      </c>
      <c r="C35" s="153"/>
      <c r="D35" s="153"/>
      <c r="E35" s="153"/>
      <c r="F35" s="154"/>
    </row>
    <row r="36" spans="2:6" ht="20.100000000000001" customHeight="1">
      <c r="B36" s="81">
        <v>20</v>
      </c>
      <c r="C36" s="82" t="s">
        <v>35</v>
      </c>
      <c r="D36" s="81"/>
      <c r="E36" s="94">
        <v>0.05</v>
      </c>
      <c r="F36" s="81" t="s">
        <v>8</v>
      </c>
    </row>
    <row r="37" spans="2:6" ht="20.100000000000001" customHeight="1">
      <c r="B37" s="81">
        <v>21</v>
      </c>
      <c r="C37" s="82" t="s">
        <v>36</v>
      </c>
      <c r="D37" s="81" t="s">
        <v>37</v>
      </c>
      <c r="E37" s="93">
        <v>15</v>
      </c>
      <c r="F37" s="81" t="s">
        <v>8</v>
      </c>
    </row>
    <row r="38" spans="2:6" ht="20.100000000000001" customHeight="1">
      <c r="B38" s="81">
        <v>22</v>
      </c>
      <c r="C38" s="82" t="s">
        <v>38</v>
      </c>
      <c r="D38" s="81"/>
      <c r="E38" s="95">
        <f>(1-E36)/E37</f>
        <v>6.3333333333333325E-2</v>
      </c>
      <c r="F38" s="81" t="s">
        <v>8</v>
      </c>
    </row>
    <row r="39" spans="2:6" ht="20.100000000000001" customHeight="1">
      <c r="B39" s="152" t="s">
        <v>39</v>
      </c>
      <c r="C39" s="153"/>
      <c r="D39" s="153"/>
      <c r="E39" s="153"/>
      <c r="F39" s="154"/>
    </row>
    <row r="40" spans="2:6" ht="20.100000000000001" customHeight="1">
      <c r="B40" s="81">
        <v>23</v>
      </c>
      <c r="C40" s="82" t="s">
        <v>40</v>
      </c>
      <c r="D40" s="81" t="s">
        <v>17</v>
      </c>
      <c r="E40" s="96">
        <f>4966*'Sensitivity Analysis'!O8</f>
        <v>4966</v>
      </c>
      <c r="F40" s="81" t="s">
        <v>8</v>
      </c>
    </row>
    <row r="41" spans="2:6" ht="20.100000000000001" customHeight="1">
      <c r="B41" s="81">
        <v>24</v>
      </c>
      <c r="C41" s="82" t="s">
        <v>41</v>
      </c>
      <c r="D41" s="81"/>
      <c r="E41" s="97">
        <v>0.17</v>
      </c>
      <c r="F41" s="81" t="s">
        <v>8</v>
      </c>
    </row>
    <row r="42" spans="2:6" ht="20.100000000000001" customHeight="1">
      <c r="B42" s="81">
        <v>25</v>
      </c>
      <c r="C42" s="82" t="s">
        <v>147</v>
      </c>
      <c r="D42" s="81"/>
      <c r="E42" s="98">
        <v>0.03</v>
      </c>
      <c r="F42" s="81" t="s">
        <v>8</v>
      </c>
    </row>
    <row r="43" spans="2:6" ht="20.100000000000001" customHeight="1">
      <c r="B43" s="81">
        <v>26</v>
      </c>
      <c r="C43" s="99" t="s">
        <v>146</v>
      </c>
      <c r="D43" s="81"/>
      <c r="E43" s="98">
        <v>0.05</v>
      </c>
      <c r="F43" s="81" t="s">
        <v>8</v>
      </c>
    </row>
    <row r="44" spans="2:6" ht="20.100000000000001" customHeight="1">
      <c r="B44" s="81">
        <v>27</v>
      </c>
      <c r="C44" s="82" t="s">
        <v>148</v>
      </c>
      <c r="D44" s="81"/>
      <c r="E44" s="98">
        <v>0.25</v>
      </c>
      <c r="F44" s="81" t="s">
        <v>8</v>
      </c>
    </row>
    <row r="45" spans="2:6" ht="20.100000000000001" customHeight="1">
      <c r="B45" s="152" t="s">
        <v>42</v>
      </c>
      <c r="C45" s="153"/>
      <c r="D45" s="153"/>
      <c r="E45" s="153"/>
      <c r="F45" s="154"/>
    </row>
    <row r="46" spans="2:6" ht="20.100000000000001" customHeight="1">
      <c r="B46" s="81">
        <v>28</v>
      </c>
      <c r="C46" s="82" t="s">
        <v>143</v>
      </c>
      <c r="D46" s="81" t="s">
        <v>145</v>
      </c>
      <c r="E46" s="100">
        <f>1.08524*0.75+0.59866*0.25</f>
        <v>0.96359499999999998</v>
      </c>
      <c r="F46" s="81" t="s">
        <v>43</v>
      </c>
    </row>
    <row r="47" spans="2:6" ht="20.100000000000001" customHeight="1">
      <c r="B47" s="81">
        <v>29</v>
      </c>
      <c r="C47" s="82" t="s">
        <v>44</v>
      </c>
      <c r="D47" s="81" t="s">
        <v>45</v>
      </c>
      <c r="E47" s="101">
        <v>9.5</v>
      </c>
      <c r="F47" s="81" t="s">
        <v>46</v>
      </c>
    </row>
    <row r="48" spans="2:6" ht="20.100000000000001" customHeight="1">
      <c r="B48" s="81">
        <v>30</v>
      </c>
      <c r="C48" s="82" t="s">
        <v>47</v>
      </c>
      <c r="D48" s="81" t="s">
        <v>48</v>
      </c>
      <c r="E48" s="101">
        <v>10</v>
      </c>
      <c r="F48" s="81" t="s">
        <v>49</v>
      </c>
    </row>
    <row r="49" spans="2:6" ht="20.100000000000001" customHeight="1">
      <c r="B49" s="81">
        <v>31</v>
      </c>
      <c r="C49" s="82" t="s">
        <v>50</v>
      </c>
      <c r="D49" s="81" t="s">
        <v>144</v>
      </c>
      <c r="E49" s="102">
        <f>E7*E46</f>
        <v>100204.24404999999</v>
      </c>
      <c r="F49" s="81" t="s">
        <v>14</v>
      </c>
    </row>
    <row r="54" spans="2:6" ht="20.100000000000001" customHeight="1">
      <c r="D54" s="103"/>
    </row>
  </sheetData>
  <mergeCells count="8">
    <mergeCell ref="B45:F45"/>
    <mergeCell ref="B2:F3"/>
    <mergeCell ref="B5:F5"/>
    <mergeCell ref="B10:F10"/>
    <mergeCell ref="B15:F15"/>
    <mergeCell ref="B22:F22"/>
    <mergeCell ref="B35:F35"/>
    <mergeCell ref="B39:F39"/>
  </mergeCells>
  <phoneticPr fontId="29" type="noConversion"/>
  <pageMargins left="0.69861111111111107" right="0.69861111111111107" top="0.75" bottom="0.75" header="0.3" footer="0.3"/>
  <pageSetup paperSize="9" firstPageNumber="4294963191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Y24"/>
  <sheetViews>
    <sheetView zoomScaleSheetLayoutView="100" workbookViewId="0">
      <selection activeCell="G23" sqref="G23"/>
    </sheetView>
  </sheetViews>
  <sheetFormatPr defaultRowHeight="20.100000000000001" customHeight="1"/>
  <cols>
    <col min="1" max="1" width="9" style="1" customWidth="1"/>
    <col min="2" max="2" width="5.5" style="7" customWidth="1"/>
    <col min="3" max="3" width="19.75" style="1" customWidth="1"/>
    <col min="4" max="4" width="9.875" style="7" customWidth="1"/>
    <col min="5" max="5" width="6.375" style="7" customWidth="1"/>
    <col min="6" max="6" width="6.5" style="7" customWidth="1"/>
    <col min="7" max="7" width="7" style="7" customWidth="1"/>
    <col min="8" max="8" width="7.875" style="7" customWidth="1"/>
    <col min="9" max="9" width="6.375" style="7" customWidth="1"/>
    <col min="10" max="10" width="7.125" style="7" customWidth="1"/>
    <col min="11" max="11" width="6.375" style="7" customWidth="1"/>
    <col min="12" max="12" width="7.125" style="7" customWidth="1"/>
    <col min="13" max="13" width="6.25" style="7" customWidth="1"/>
    <col min="14" max="15" width="7" style="7" customWidth="1"/>
    <col min="16" max="16" width="6.875" style="7" customWidth="1"/>
    <col min="17" max="17" width="7.25" style="7" customWidth="1"/>
    <col min="18" max="18" width="6.875" style="7" customWidth="1"/>
    <col min="19" max="19" width="7.125" style="7" customWidth="1"/>
    <col min="20" max="22" width="6.5" style="7" customWidth="1"/>
    <col min="23" max="23" width="6.625" style="7" customWidth="1"/>
    <col min="24" max="24" width="6.5" style="7" customWidth="1"/>
    <col min="25" max="25" width="9" style="1" bestFit="1"/>
    <col min="26" max="16384" width="9" style="1"/>
  </cols>
  <sheetData>
    <row r="1" spans="2:25" ht="20.100000000000001" customHeight="1"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</row>
    <row r="2" spans="2:25" s="2" customFormat="1" ht="20.100000000000001" customHeight="1">
      <c r="B2" s="162" t="s">
        <v>51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4"/>
    </row>
    <row r="3" spans="2:25" s="3" customFormat="1" ht="24" customHeight="1">
      <c r="B3" s="168" t="s">
        <v>0</v>
      </c>
      <c r="C3" s="170" t="s">
        <v>52</v>
      </c>
      <c r="D3" s="72" t="s">
        <v>53</v>
      </c>
      <c r="E3" s="165" t="s">
        <v>54</v>
      </c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7"/>
    </row>
    <row r="4" spans="2:25" s="3" customFormat="1" ht="20.100000000000001" customHeight="1">
      <c r="B4" s="169"/>
      <c r="C4" s="171"/>
      <c r="D4" s="73">
        <v>1</v>
      </c>
      <c r="E4" s="73">
        <v>2</v>
      </c>
      <c r="F4" s="73">
        <v>3</v>
      </c>
      <c r="G4" s="73">
        <v>4</v>
      </c>
      <c r="H4" s="73">
        <v>5</v>
      </c>
      <c r="I4" s="73">
        <v>6</v>
      </c>
      <c r="J4" s="73">
        <v>7</v>
      </c>
      <c r="K4" s="73">
        <v>8</v>
      </c>
      <c r="L4" s="73">
        <v>9</v>
      </c>
      <c r="M4" s="73">
        <v>10</v>
      </c>
      <c r="N4" s="73">
        <v>11</v>
      </c>
      <c r="O4" s="73">
        <v>12</v>
      </c>
      <c r="P4" s="73">
        <v>13</v>
      </c>
      <c r="Q4" s="73">
        <v>14</v>
      </c>
      <c r="R4" s="73">
        <v>15</v>
      </c>
      <c r="S4" s="73">
        <v>16</v>
      </c>
      <c r="T4" s="73">
        <v>17</v>
      </c>
      <c r="U4" s="73">
        <v>18</v>
      </c>
      <c r="V4" s="73">
        <v>19</v>
      </c>
      <c r="W4" s="73">
        <v>20</v>
      </c>
      <c r="X4" s="35">
        <v>21</v>
      </c>
    </row>
    <row r="5" spans="2:25" s="3" customFormat="1" ht="20.100000000000001" customHeight="1">
      <c r="B5" s="33">
        <v>1</v>
      </c>
      <c r="C5" s="6" t="s">
        <v>51</v>
      </c>
      <c r="D5" s="8"/>
      <c r="E5" s="143">
        <f>E11+E6+E7</f>
        <v>6408.4589333333333</v>
      </c>
      <c r="F5" s="143">
        <f t="shared" ref="F5:X5" si="0">F11+F6+F7</f>
        <v>6324.3932061293181</v>
      </c>
      <c r="G5" s="143">
        <f t="shared" si="0"/>
        <v>6472.341354643273</v>
      </c>
      <c r="H5" s="143">
        <f t="shared" si="0"/>
        <v>6374.2431917963604</v>
      </c>
      <c r="I5" s="143">
        <f t="shared" si="0"/>
        <v>6261.0808253320365</v>
      </c>
      <c r="J5" s="143">
        <f t="shared" si="0"/>
        <v>6213.1660348593159</v>
      </c>
      <c r="K5" s="143">
        <f t="shared" si="0"/>
        <v>6056.8478282961933</v>
      </c>
      <c r="L5" s="143">
        <f t="shared" si="0"/>
        <v>5871.9977124797888</v>
      </c>
      <c r="M5" s="143">
        <f t="shared" si="0"/>
        <v>5664.6733726626762</v>
      </c>
      <c r="N5" s="143">
        <f t="shared" si="0"/>
        <v>5440.890386278501</v>
      </c>
      <c r="O5" s="143">
        <f t="shared" si="0"/>
        <v>5563.9821245303365</v>
      </c>
      <c r="P5" s="143">
        <f t="shared" si="0"/>
        <v>5311.8749345108372</v>
      </c>
      <c r="Q5" s="143">
        <f t="shared" si="0"/>
        <v>5040.8702656438036</v>
      </c>
      <c r="R5" s="143">
        <f t="shared" si="0"/>
        <v>5008.8471663893552</v>
      </c>
      <c r="S5" s="143">
        <f t="shared" si="0"/>
        <v>4975.488703895996</v>
      </c>
      <c r="T5" s="143">
        <f t="shared" si="0"/>
        <v>2169.6132601833319</v>
      </c>
      <c r="U5" s="143">
        <f t="shared" si="0"/>
        <v>2017.8587438011821</v>
      </c>
      <c r="V5" s="143">
        <f t="shared" si="0"/>
        <v>1961.9266</v>
      </c>
      <c r="W5" s="143">
        <f t="shared" si="0"/>
        <v>1961.9266</v>
      </c>
      <c r="X5" s="144">
        <f t="shared" si="0"/>
        <v>1961.9266</v>
      </c>
    </row>
    <row r="6" spans="2:25" s="3" customFormat="1" ht="20.100000000000001" customHeight="1">
      <c r="B6" s="36">
        <v>2</v>
      </c>
      <c r="C6" s="5" t="s">
        <v>55</v>
      </c>
      <c r="D6" s="9"/>
      <c r="E6" s="145">
        <f>('Basic Parameters'!$E$12+'Basic Parameters'!$E$13)*'Basic Parameters'!$E$38</f>
        <v>3045.1933333333327</v>
      </c>
      <c r="F6" s="145">
        <f>('Basic Parameters'!$E$12+'Basic Parameters'!$E$13)*'Basic Parameters'!$E$38</f>
        <v>3045.1933333333327</v>
      </c>
      <c r="G6" s="145">
        <f>('Basic Parameters'!$E$12+'Basic Parameters'!$E$13)*'Basic Parameters'!$E$38</f>
        <v>3045.1933333333327</v>
      </c>
      <c r="H6" s="145">
        <f>('Basic Parameters'!$E$12+'Basic Parameters'!$E$13)*'Basic Parameters'!$E$38</f>
        <v>3045.1933333333327</v>
      </c>
      <c r="I6" s="145">
        <f>('Basic Parameters'!$E$12+'Basic Parameters'!$E$13)*'Basic Parameters'!$E$38</f>
        <v>3045.1933333333327</v>
      </c>
      <c r="J6" s="145">
        <f>('Basic Parameters'!$E$12+'Basic Parameters'!$E$13)*'Basic Parameters'!$E$38</f>
        <v>3045.1933333333327</v>
      </c>
      <c r="K6" s="145">
        <f>('Basic Parameters'!$E$12+'Basic Parameters'!$E$13)*'Basic Parameters'!$E$38</f>
        <v>3045.1933333333327</v>
      </c>
      <c r="L6" s="145">
        <f>('Basic Parameters'!$E$12+'Basic Parameters'!$E$13)*'Basic Parameters'!$E$38</f>
        <v>3045.1933333333327</v>
      </c>
      <c r="M6" s="145">
        <f>('Basic Parameters'!$E$12+'Basic Parameters'!$E$13)*'Basic Parameters'!$E$38</f>
        <v>3045.1933333333327</v>
      </c>
      <c r="N6" s="145">
        <f>('Basic Parameters'!$E$12+'Basic Parameters'!$E$13)*'Basic Parameters'!$E$38</f>
        <v>3045.1933333333327</v>
      </c>
      <c r="O6" s="145">
        <f>('Basic Parameters'!$E$12+'Basic Parameters'!$E$13)*'Basic Parameters'!$E$38</f>
        <v>3045.1933333333327</v>
      </c>
      <c r="P6" s="145">
        <f>('Basic Parameters'!$E$12+'Basic Parameters'!$E$13)*'Basic Parameters'!$E$38</f>
        <v>3045.1933333333327</v>
      </c>
      <c r="Q6" s="145">
        <f>('Basic Parameters'!$E$12+'Basic Parameters'!$E$13)*'Basic Parameters'!$E$38</f>
        <v>3045.1933333333327</v>
      </c>
      <c r="R6" s="145">
        <f>('Basic Parameters'!$E$12+'Basic Parameters'!$E$13)*'Basic Parameters'!$E$38</f>
        <v>3045.1933333333327</v>
      </c>
      <c r="S6" s="145">
        <f>('Basic Parameters'!$E$12+'Basic Parameters'!$E$13)*'Basic Parameters'!$E$38</f>
        <v>3045.1933333333327</v>
      </c>
      <c r="T6" s="146"/>
      <c r="U6" s="146"/>
      <c r="V6" s="146"/>
      <c r="W6" s="146"/>
      <c r="X6" s="147"/>
    </row>
    <row r="7" spans="2:25" s="3" customFormat="1" ht="20.100000000000001" customHeight="1">
      <c r="B7" s="36">
        <v>3</v>
      </c>
      <c r="C7" s="5" t="s">
        <v>56</v>
      </c>
      <c r="D7" s="9"/>
      <c r="E7" s="145">
        <f t="shared" ref="E7:X7" si="1">E8+E9+E10</f>
        <v>2368.2332000000001</v>
      </c>
      <c r="F7" s="145">
        <f t="shared" si="1"/>
        <v>2284.1674727959848</v>
      </c>
      <c r="G7" s="145">
        <f t="shared" si="1"/>
        <v>2186.89742130994</v>
      </c>
      <c r="H7" s="145">
        <f t="shared" si="1"/>
        <v>2088.7992584630279</v>
      </c>
      <c r="I7" s="145">
        <f t="shared" si="1"/>
        <v>1975.6368919987037</v>
      </c>
      <c r="J7" s="145">
        <f t="shared" si="1"/>
        <v>1845.9827015259832</v>
      </c>
      <c r="K7" s="145">
        <f t="shared" si="1"/>
        <v>1689.6644949628612</v>
      </c>
      <c r="L7" s="145">
        <f t="shared" si="1"/>
        <v>1504.8143791464563</v>
      </c>
      <c r="M7" s="145">
        <f t="shared" si="1"/>
        <v>1297.4900393293435</v>
      </c>
      <c r="N7" s="145">
        <f t="shared" si="1"/>
        <v>1073.7070529451687</v>
      </c>
      <c r="O7" s="145">
        <f t="shared" si="1"/>
        <v>836.18379119700421</v>
      </c>
      <c r="P7" s="145">
        <f t="shared" si="1"/>
        <v>584.07660117750459</v>
      </c>
      <c r="Q7" s="145">
        <f t="shared" si="1"/>
        <v>313.07193231047097</v>
      </c>
      <c r="R7" s="145">
        <f t="shared" si="1"/>
        <v>281.04883305602272</v>
      </c>
      <c r="S7" s="145">
        <f t="shared" si="1"/>
        <v>247.69037056266393</v>
      </c>
      <c r="T7" s="145">
        <f t="shared" si="1"/>
        <v>212.94086018333209</v>
      </c>
      <c r="U7" s="145">
        <f t="shared" si="1"/>
        <v>61.186343801182197</v>
      </c>
      <c r="V7" s="145">
        <f t="shared" si="1"/>
        <v>5.2542</v>
      </c>
      <c r="W7" s="145">
        <f t="shared" si="1"/>
        <v>5.2542</v>
      </c>
      <c r="X7" s="148">
        <f t="shared" si="1"/>
        <v>5.2542</v>
      </c>
    </row>
    <row r="8" spans="2:25" s="3" customFormat="1" ht="20.100000000000001" customHeight="1">
      <c r="B8" s="36">
        <v>3.1</v>
      </c>
      <c r="C8" s="5" t="s">
        <v>57</v>
      </c>
      <c r="D8" s="9"/>
      <c r="E8" s="145">
        <f>'Loan &amp; Payment'!D9</f>
        <v>2362.9790000000003</v>
      </c>
      <c r="F8" s="145">
        <f>'Loan &amp; Payment'!E9</f>
        <v>2224.049523624019</v>
      </c>
      <c r="G8" s="145">
        <f>'Loan &amp; Payment'!F9</f>
        <v>2076.5897773985516</v>
      </c>
      <c r="H8" s="145">
        <f>'Loan &amp; Payment'!G9</f>
        <v>1920.0760027548411</v>
      </c>
      <c r="I8" s="145">
        <f>'Loan &amp; Payment'!H9</f>
        <v>1753.9522823480067</v>
      </c>
      <c r="J8" s="145">
        <f>'Loan &amp; Payment'!I9</f>
        <v>1577.6285655081924</v>
      </c>
      <c r="K8" s="145">
        <f>'Loan &amp; Payment'!J9</f>
        <v>1390.478572454414</v>
      </c>
      <c r="L8" s="145">
        <f>'Loan &amp; Payment'!K9</f>
        <v>1191.8375698271336</v>
      </c>
      <c r="M8" s="145">
        <f>'Loan &amp; Payment'!L9</f>
        <v>981.00000963853802</v>
      </c>
      <c r="N8" s="145">
        <f>'Loan &amp; Payment'!M9</f>
        <v>757.2170232543632</v>
      </c>
      <c r="O8" s="145">
        <f>'Loan &amp; Payment'!N9</f>
        <v>519.69376150619871</v>
      </c>
      <c r="P8" s="145">
        <f>'Loan &amp; Payment'!O9</f>
        <v>267.58657148669897</v>
      </c>
      <c r="Q8" s="145">
        <f>'Loan &amp; Payment'!P9</f>
        <v>0</v>
      </c>
      <c r="R8" s="145">
        <f>'Loan &amp; Payment'!Q9</f>
        <v>0</v>
      </c>
      <c r="S8" s="145">
        <f>'Loan &amp; Payment'!R9</f>
        <v>0</v>
      </c>
      <c r="T8" s="145">
        <f>'Loan &amp; Payment'!S9</f>
        <v>0</v>
      </c>
      <c r="U8" s="145">
        <f>'Loan &amp; Payment'!T9</f>
        <v>0</v>
      </c>
      <c r="V8" s="145">
        <f>'Loan &amp; Payment'!U9</f>
        <v>0</v>
      </c>
      <c r="W8" s="145">
        <f>'Loan &amp; Payment'!V9</f>
        <v>0</v>
      </c>
      <c r="X8" s="148">
        <f>'Loan &amp; Payment'!W9</f>
        <v>0</v>
      </c>
    </row>
    <row r="9" spans="2:25" s="3" customFormat="1" ht="20.100000000000001" customHeight="1">
      <c r="B9" s="36">
        <v>3.2</v>
      </c>
      <c r="C9" s="5" t="s">
        <v>58</v>
      </c>
      <c r="D9" s="9"/>
      <c r="E9" s="145">
        <f>'Loan &amp; Payment'!D13</f>
        <v>5.2542</v>
      </c>
      <c r="F9" s="145">
        <f>'Loan &amp; Payment'!E13</f>
        <v>5.2542</v>
      </c>
      <c r="G9" s="145">
        <f>'Loan &amp; Payment'!F13</f>
        <v>5.2542</v>
      </c>
      <c r="H9" s="145">
        <f>'Loan &amp; Payment'!G13</f>
        <v>5.2542</v>
      </c>
      <c r="I9" s="145">
        <f>'Loan &amp; Payment'!H13</f>
        <v>5.2542</v>
      </c>
      <c r="J9" s="145">
        <f>'Loan &amp; Payment'!I13</f>
        <v>5.2542</v>
      </c>
      <c r="K9" s="145">
        <f>'Loan &amp; Payment'!J13</f>
        <v>5.2542</v>
      </c>
      <c r="L9" s="145">
        <f>'Loan &amp; Payment'!K13</f>
        <v>5.2542</v>
      </c>
      <c r="M9" s="145">
        <f>'Loan &amp; Payment'!L13</f>
        <v>5.2542</v>
      </c>
      <c r="N9" s="145">
        <f>'Loan &amp; Payment'!M13</f>
        <v>5.2542</v>
      </c>
      <c r="O9" s="145">
        <f>'Loan &amp; Payment'!N13</f>
        <v>5.2542</v>
      </c>
      <c r="P9" s="145">
        <f>'Loan &amp; Payment'!O13</f>
        <v>5.2542</v>
      </c>
      <c r="Q9" s="145">
        <f>'Loan &amp; Payment'!P13</f>
        <v>5.2542</v>
      </c>
      <c r="R9" s="145">
        <f>'Loan &amp; Payment'!Q13</f>
        <v>5.2542</v>
      </c>
      <c r="S9" s="145">
        <f>'Loan &amp; Payment'!R13</f>
        <v>5.2542</v>
      </c>
      <c r="T9" s="145">
        <f>'Loan &amp; Payment'!S13</f>
        <v>5.2542</v>
      </c>
      <c r="U9" s="145">
        <f>'Loan &amp; Payment'!T13</f>
        <v>5.2542</v>
      </c>
      <c r="V9" s="145">
        <f>'Loan &amp; Payment'!U13</f>
        <v>5.2542</v>
      </c>
      <c r="W9" s="145">
        <f>'Loan &amp; Payment'!V13</f>
        <v>5.2542</v>
      </c>
      <c r="X9" s="148">
        <f>'Loan &amp; Payment'!W13</f>
        <v>5.2542</v>
      </c>
    </row>
    <row r="10" spans="2:25" s="3" customFormat="1" ht="20.100000000000001" customHeight="1">
      <c r="B10" s="36">
        <v>3.3</v>
      </c>
      <c r="C10" s="5" t="s">
        <v>59</v>
      </c>
      <c r="D10" s="9"/>
      <c r="E10" s="145">
        <f>'Loan &amp; Payment'!D17</f>
        <v>0</v>
      </c>
      <c r="F10" s="145">
        <f>'Loan &amp; Payment'!E17</f>
        <v>54.863749171965821</v>
      </c>
      <c r="G10" s="145">
        <f>'Loan &amp; Payment'!F17</f>
        <v>105.05344391138838</v>
      </c>
      <c r="H10" s="145">
        <f>'Loan &amp; Payment'!G17</f>
        <v>163.46905570818686</v>
      </c>
      <c r="I10" s="145">
        <f>'Loan &amp; Payment'!H17</f>
        <v>216.43040965069699</v>
      </c>
      <c r="J10" s="145">
        <f>'Loan &amp; Payment'!I17</f>
        <v>263.0999360177907</v>
      </c>
      <c r="K10" s="145">
        <f>'Loan &amp; Payment'!J17</f>
        <v>293.93172250844725</v>
      </c>
      <c r="L10" s="145">
        <f>'Loan &amp; Payment'!K17</f>
        <v>307.72260931932249</v>
      </c>
      <c r="M10" s="145">
        <f>'Loan &amp; Payment'!L17</f>
        <v>311.23582969080559</v>
      </c>
      <c r="N10" s="145">
        <f>'Loan &amp; Payment'!M17</f>
        <v>311.23582969080559</v>
      </c>
      <c r="O10" s="145">
        <f>'Loan &amp; Payment'!N17</f>
        <v>311.23582969080559</v>
      </c>
      <c r="P10" s="145">
        <f>'Loan &amp; Payment'!O17</f>
        <v>311.23582969080559</v>
      </c>
      <c r="Q10" s="145">
        <f>'Loan &amp; Payment'!P17</f>
        <v>307.81773231047094</v>
      </c>
      <c r="R10" s="145">
        <f>'Loan &amp; Payment'!Q17</f>
        <v>275.79463305602269</v>
      </c>
      <c r="S10" s="145">
        <f>'Loan &amp; Payment'!R17</f>
        <v>242.43617056266393</v>
      </c>
      <c r="T10" s="145">
        <f>'Loan &amp; Payment'!S17</f>
        <v>207.68666018333209</v>
      </c>
      <c r="U10" s="145">
        <f>'Loan &amp; Payment'!T17</f>
        <v>55.9321438011822</v>
      </c>
      <c r="V10" s="145">
        <f>'Loan &amp; Payment'!U17</f>
        <v>0</v>
      </c>
      <c r="W10" s="145">
        <f>'Loan &amp; Payment'!V17</f>
        <v>0</v>
      </c>
      <c r="X10" s="148">
        <f>'Loan &amp; Payment'!W17</f>
        <v>0</v>
      </c>
    </row>
    <row r="11" spans="2:25" s="3" customFormat="1" ht="20.100000000000001" customHeight="1">
      <c r="B11" s="36">
        <v>4</v>
      </c>
      <c r="C11" s="5" t="s">
        <v>60</v>
      </c>
      <c r="D11" s="10"/>
      <c r="E11" s="146">
        <f>SUM(E12:E16)*'Sensitivity Analysis'!$O11</f>
        <v>995.03240000000017</v>
      </c>
      <c r="F11" s="146">
        <f>SUM(F12:F16)*'Sensitivity Analysis'!$O11</f>
        <v>995.03240000000017</v>
      </c>
      <c r="G11" s="146">
        <f>SUM(G12:G16)*'Sensitivity Analysis'!$O11</f>
        <v>1240.2506000000001</v>
      </c>
      <c r="H11" s="146">
        <f>SUM(H12:H16)*'Sensitivity Analysis'!$O11</f>
        <v>1240.2506000000001</v>
      </c>
      <c r="I11" s="146">
        <f>SUM(I12:I16)*'Sensitivity Analysis'!$O11</f>
        <v>1240.2506000000001</v>
      </c>
      <c r="J11" s="146">
        <f>SUM(J12:J16)*'Sensitivity Analysis'!$O11</f>
        <v>1321.99</v>
      </c>
      <c r="K11" s="146">
        <f>SUM(K12:K16)*'Sensitivity Analysis'!$O11</f>
        <v>1321.99</v>
      </c>
      <c r="L11" s="146">
        <f>SUM(L12:L16)*'Sensitivity Analysis'!$O11</f>
        <v>1321.99</v>
      </c>
      <c r="M11" s="146">
        <f>SUM(M12:M16)*'Sensitivity Analysis'!$O11</f>
        <v>1321.99</v>
      </c>
      <c r="N11" s="146">
        <f>SUM(N12:N16)*'Sensitivity Analysis'!$O11</f>
        <v>1321.99</v>
      </c>
      <c r="O11" s="146">
        <f>SUM(O12:O16)*'Sensitivity Analysis'!$O11</f>
        <v>1682.605</v>
      </c>
      <c r="P11" s="146">
        <f>SUM(P12:P16)*'Sensitivity Analysis'!$O11</f>
        <v>1682.605</v>
      </c>
      <c r="Q11" s="146">
        <f>SUM(Q12:Q16)*'Sensitivity Analysis'!$O11</f>
        <v>1682.605</v>
      </c>
      <c r="R11" s="146">
        <f>SUM(R12:R16)*'Sensitivity Analysis'!$O11</f>
        <v>1682.605</v>
      </c>
      <c r="S11" s="146">
        <f>SUM(S12:S16)*'Sensitivity Analysis'!$O11</f>
        <v>1682.605</v>
      </c>
      <c r="T11" s="146">
        <f>SUM(T12:T16)*'Sensitivity Analysis'!$O11</f>
        <v>1956.6723999999999</v>
      </c>
      <c r="U11" s="146">
        <f>SUM(U12:U16)*'Sensitivity Analysis'!$O11</f>
        <v>1956.6723999999999</v>
      </c>
      <c r="V11" s="146">
        <f>SUM(V12:V16)*'Sensitivity Analysis'!$O11</f>
        <v>1956.6723999999999</v>
      </c>
      <c r="W11" s="146">
        <f>SUM(W12:W16)*'Sensitivity Analysis'!$O11</f>
        <v>1956.6723999999999</v>
      </c>
      <c r="X11" s="147">
        <f>SUM(X12:X16)*'Sensitivity Analysis'!$O11</f>
        <v>1956.6723999999999</v>
      </c>
    </row>
    <row r="12" spans="2:25" s="3" customFormat="1" ht="20.100000000000001" customHeight="1">
      <c r="B12" s="36">
        <v>4.0999999999999996</v>
      </c>
      <c r="C12" s="5" t="s">
        <v>32</v>
      </c>
      <c r="D12" s="9"/>
      <c r="E12" s="146">
        <f>'Basic Parameters'!$E$7*'Basic Parameters'!$E$33/10000</f>
        <v>103.99</v>
      </c>
      <c r="F12" s="146">
        <f>'Basic Parameters'!$E$7*'Basic Parameters'!$E$33/10000</f>
        <v>103.99</v>
      </c>
      <c r="G12" s="146">
        <f>'Basic Parameters'!$E$7*'Basic Parameters'!$E$33/10000</f>
        <v>103.99</v>
      </c>
      <c r="H12" s="146">
        <f>'Basic Parameters'!$E$7*'Basic Parameters'!$E$33/10000</f>
        <v>103.99</v>
      </c>
      <c r="I12" s="146">
        <f>'Basic Parameters'!$E$7*'Basic Parameters'!$E$33/10000</f>
        <v>103.99</v>
      </c>
      <c r="J12" s="146">
        <f>'Basic Parameters'!$E$7*'Basic Parameters'!$E$33/10000</f>
        <v>103.99</v>
      </c>
      <c r="K12" s="146">
        <f>'Basic Parameters'!$E$7*'Basic Parameters'!$E$33/10000</f>
        <v>103.99</v>
      </c>
      <c r="L12" s="146">
        <f>'Basic Parameters'!$E$7*'Basic Parameters'!$E$33/10000</f>
        <v>103.99</v>
      </c>
      <c r="M12" s="146">
        <f>'Basic Parameters'!$E$7*'Basic Parameters'!$E$33/10000</f>
        <v>103.99</v>
      </c>
      <c r="N12" s="146">
        <f>'Basic Parameters'!$E$7*'Basic Parameters'!$E$33/10000</f>
        <v>103.99</v>
      </c>
      <c r="O12" s="146">
        <f>'Basic Parameters'!$E$7*'Basic Parameters'!$E$33/10000</f>
        <v>103.99</v>
      </c>
      <c r="P12" s="146">
        <f>'Basic Parameters'!$E$7*'Basic Parameters'!$E$33/10000</f>
        <v>103.99</v>
      </c>
      <c r="Q12" s="146">
        <f>'Basic Parameters'!$E$7*'Basic Parameters'!$E$33/10000</f>
        <v>103.99</v>
      </c>
      <c r="R12" s="146">
        <f>'Basic Parameters'!$E$7*'Basic Parameters'!$E$33/10000</f>
        <v>103.99</v>
      </c>
      <c r="S12" s="146">
        <f>'Basic Parameters'!$E$7*'Basic Parameters'!$E$33/10000</f>
        <v>103.99</v>
      </c>
      <c r="T12" s="146">
        <f>'Basic Parameters'!$E$7*'Basic Parameters'!$E$33/10000</f>
        <v>103.99</v>
      </c>
      <c r="U12" s="146">
        <f>'Basic Parameters'!$E$7*'Basic Parameters'!$E$33/10000</f>
        <v>103.99</v>
      </c>
      <c r="V12" s="146">
        <f>'Basic Parameters'!$E$7*'Basic Parameters'!$E$33/10000</f>
        <v>103.99</v>
      </c>
      <c r="W12" s="146">
        <f>'Basic Parameters'!$E$7*'Basic Parameters'!$E$33/10000</f>
        <v>103.99</v>
      </c>
      <c r="X12" s="147">
        <f>'Basic Parameters'!$E$7*'Basic Parameters'!$E$33/10000</f>
        <v>103.99</v>
      </c>
    </row>
    <row r="13" spans="2:25" s="3" customFormat="1" ht="20.100000000000001" customHeight="1">
      <c r="B13" s="36">
        <v>4.2</v>
      </c>
      <c r="C13" s="5" t="s">
        <v>61</v>
      </c>
      <c r="D13" s="10"/>
      <c r="E13" s="146">
        <f>'Basic Parameters'!$E$23*'Basic Parameters'!$E$24*(1+'Basic Parameters'!$E$25)</f>
        <v>184.8</v>
      </c>
      <c r="F13" s="146">
        <f>'Basic Parameters'!$E$23*'Basic Parameters'!$E$24*(1+'Basic Parameters'!$E$25)</f>
        <v>184.8</v>
      </c>
      <c r="G13" s="146">
        <f>'Basic Parameters'!$E$23*'Basic Parameters'!$E$24*(1+'Basic Parameters'!$E$25)</f>
        <v>184.8</v>
      </c>
      <c r="H13" s="146">
        <f>'Basic Parameters'!$E$23*'Basic Parameters'!$E$24*(1+'Basic Parameters'!$E$25)</f>
        <v>184.8</v>
      </c>
      <c r="I13" s="146">
        <f>'Basic Parameters'!$E$23*'Basic Parameters'!$E$24*(1+'Basic Parameters'!$E$25)</f>
        <v>184.8</v>
      </c>
      <c r="J13" s="146">
        <f>'Basic Parameters'!$E$23*'Basic Parameters'!$E$24*(1+'Basic Parameters'!$E$25)</f>
        <v>184.8</v>
      </c>
      <c r="K13" s="146">
        <f>'Basic Parameters'!$E$23*'Basic Parameters'!$E$24*(1+'Basic Parameters'!$E$25)</f>
        <v>184.8</v>
      </c>
      <c r="L13" s="146">
        <f>'Basic Parameters'!$E$23*'Basic Parameters'!$E$24*(1+'Basic Parameters'!$E$25)</f>
        <v>184.8</v>
      </c>
      <c r="M13" s="146">
        <f>'Basic Parameters'!$E$23*'Basic Parameters'!$E$24*(1+'Basic Parameters'!$E$25)</f>
        <v>184.8</v>
      </c>
      <c r="N13" s="146">
        <f>'Basic Parameters'!$E$23*'Basic Parameters'!$E$24*(1+'Basic Parameters'!$E$25)</f>
        <v>184.8</v>
      </c>
      <c r="O13" s="146">
        <f>'Basic Parameters'!$E$23*'Basic Parameters'!$E$24*(1+'Basic Parameters'!$E$25)</f>
        <v>184.8</v>
      </c>
      <c r="P13" s="146">
        <f>'Basic Parameters'!$E$23*'Basic Parameters'!$E$24*(1+'Basic Parameters'!$E$25)</f>
        <v>184.8</v>
      </c>
      <c r="Q13" s="146">
        <f>'Basic Parameters'!$E$23*'Basic Parameters'!$E$24*(1+'Basic Parameters'!$E$25)</f>
        <v>184.8</v>
      </c>
      <c r="R13" s="146">
        <f>'Basic Parameters'!$E$23*'Basic Parameters'!$E$24*(1+'Basic Parameters'!$E$25)</f>
        <v>184.8</v>
      </c>
      <c r="S13" s="146">
        <f>'Basic Parameters'!$E$23*'Basic Parameters'!$E$24*(1+'Basic Parameters'!$E$25)</f>
        <v>184.8</v>
      </c>
      <c r="T13" s="146">
        <f>'Basic Parameters'!$E$23*'Basic Parameters'!$E$24*(1+'Basic Parameters'!$E$25)</f>
        <v>184.8</v>
      </c>
      <c r="U13" s="146">
        <f>'Basic Parameters'!$E$23*'Basic Parameters'!$E$24*(1+'Basic Parameters'!$E$25)</f>
        <v>184.8</v>
      </c>
      <c r="V13" s="146">
        <f>'Basic Parameters'!$E$23*'Basic Parameters'!$E$24*(1+'Basic Parameters'!$E$25)</f>
        <v>184.8</v>
      </c>
      <c r="W13" s="146">
        <f>'Basic Parameters'!$E$23*'Basic Parameters'!$E$24*(1+'Basic Parameters'!$E$25)</f>
        <v>184.8</v>
      </c>
      <c r="X13" s="147">
        <f>'Basic Parameters'!$E$23*'Basic Parameters'!$E$24*(1+'Basic Parameters'!$E$25)</f>
        <v>184.8</v>
      </c>
    </row>
    <row r="14" spans="2:25" s="3" customFormat="1" ht="20.100000000000001" customHeight="1">
      <c r="B14" s="36">
        <v>4.3</v>
      </c>
      <c r="C14" s="25" t="s">
        <v>62</v>
      </c>
      <c r="D14" s="9"/>
      <c r="E14" s="145">
        <f>('Basic Parameters'!$E$12+'Basic Parameters'!$E$13)*'Basic Parameters'!$E$27</f>
        <v>274.06740000000002</v>
      </c>
      <c r="F14" s="145">
        <f>('Basic Parameters'!$E$12+'Basic Parameters'!$E$13)*'Basic Parameters'!$E$27</f>
        <v>274.06740000000002</v>
      </c>
      <c r="G14" s="145">
        <f>('Basic Parameters'!$E$12+'Basic Parameters'!$E$13)*'Basic Parameters'!$E$28</f>
        <v>519.28560000000004</v>
      </c>
      <c r="H14" s="145">
        <f>('Basic Parameters'!$E$12+'Basic Parameters'!$E$13)*'Basic Parameters'!$E$28</f>
        <v>519.28560000000004</v>
      </c>
      <c r="I14" s="145">
        <f>('Basic Parameters'!$E$12+'Basic Parameters'!$E$13)*'Basic Parameters'!$E$28</f>
        <v>519.28560000000004</v>
      </c>
      <c r="J14" s="145">
        <f>('Basic Parameters'!$E$12+'Basic Parameters'!$E$13)*'Basic Parameters'!$E$29</f>
        <v>601.02499999999998</v>
      </c>
      <c r="K14" s="145">
        <f>('Basic Parameters'!$E$12+'Basic Parameters'!$E$13)*'Basic Parameters'!$E$29</f>
        <v>601.02499999999998</v>
      </c>
      <c r="L14" s="145">
        <f>('Basic Parameters'!$E$12+'Basic Parameters'!$E$13)*'Basic Parameters'!$E$29</f>
        <v>601.02499999999998</v>
      </c>
      <c r="M14" s="145">
        <f>('Basic Parameters'!$E$12+'Basic Parameters'!$E$13)*'Basic Parameters'!$E$29</f>
        <v>601.02499999999998</v>
      </c>
      <c r="N14" s="145">
        <f>('Basic Parameters'!$E$12+'Basic Parameters'!$E$13)*'Basic Parameters'!$E$29</f>
        <v>601.02499999999998</v>
      </c>
      <c r="O14" s="145">
        <f>('Basic Parameters'!$E$12+'Basic Parameters'!$E$13)*'Basic Parameters'!$E$30</f>
        <v>961.64</v>
      </c>
      <c r="P14" s="145">
        <f>('Basic Parameters'!$E$12+'Basic Parameters'!$E$13)*'Basic Parameters'!$E$30</f>
        <v>961.64</v>
      </c>
      <c r="Q14" s="145">
        <f>('Basic Parameters'!$E$12+'Basic Parameters'!$E$13)*'Basic Parameters'!$E$30</f>
        <v>961.64</v>
      </c>
      <c r="R14" s="145">
        <f>('Basic Parameters'!$E$12+'Basic Parameters'!$E$13)*'Basic Parameters'!$E$30</f>
        <v>961.64</v>
      </c>
      <c r="S14" s="145">
        <f>('Basic Parameters'!$E$12+'Basic Parameters'!$E$13)*'Basic Parameters'!$E$30</f>
        <v>961.64</v>
      </c>
      <c r="T14" s="145">
        <f>('Basic Parameters'!$E$12+'Basic Parameters'!$E$13)*'Basic Parameters'!$E$31</f>
        <v>1235.7074</v>
      </c>
      <c r="U14" s="145">
        <f>('Basic Parameters'!$E$12+'Basic Parameters'!$E$13)*'Basic Parameters'!$E$31</f>
        <v>1235.7074</v>
      </c>
      <c r="V14" s="145">
        <f>('Basic Parameters'!$E$12+'Basic Parameters'!$E$13)*'Basic Parameters'!$E$31</f>
        <v>1235.7074</v>
      </c>
      <c r="W14" s="145">
        <f>('Basic Parameters'!$E$12+'Basic Parameters'!$E$13)*'Basic Parameters'!$E$31</f>
        <v>1235.7074</v>
      </c>
      <c r="X14" s="148">
        <f>('Basic Parameters'!$E$12+'Basic Parameters'!$E$13)*'Basic Parameters'!$E$31</f>
        <v>1235.7074</v>
      </c>
    </row>
    <row r="15" spans="2:25" s="3" customFormat="1" ht="20.100000000000001" customHeight="1">
      <c r="B15" s="75">
        <v>4.4000000000000004</v>
      </c>
      <c r="C15" s="22" t="s">
        <v>33</v>
      </c>
      <c r="D15" s="24"/>
      <c r="E15" s="146">
        <f>'Basic Parameters'!$E$7*'Basic Parameters'!$E$34/10000</f>
        <v>311.97000000000003</v>
      </c>
      <c r="F15" s="146">
        <f>'Basic Parameters'!$E$7*'Basic Parameters'!$E$34/10000</f>
        <v>311.97000000000003</v>
      </c>
      <c r="G15" s="146">
        <f>'Basic Parameters'!$E$7*'Basic Parameters'!$E$34/10000</f>
        <v>311.97000000000003</v>
      </c>
      <c r="H15" s="146">
        <f>'Basic Parameters'!$E$7*'Basic Parameters'!$E$34/10000</f>
        <v>311.97000000000003</v>
      </c>
      <c r="I15" s="146">
        <f>'Basic Parameters'!$E$7*'Basic Parameters'!$E$34/10000</f>
        <v>311.97000000000003</v>
      </c>
      <c r="J15" s="146">
        <f>'Basic Parameters'!$E$7*'Basic Parameters'!$E$34/10000</f>
        <v>311.97000000000003</v>
      </c>
      <c r="K15" s="146">
        <f>'Basic Parameters'!$E$7*'Basic Parameters'!$E$34/10000</f>
        <v>311.97000000000003</v>
      </c>
      <c r="L15" s="146">
        <f>'Basic Parameters'!$E$7*'Basic Parameters'!$E$34/10000</f>
        <v>311.97000000000003</v>
      </c>
      <c r="M15" s="146">
        <f>'Basic Parameters'!$E$7*'Basic Parameters'!$E$34/10000</f>
        <v>311.97000000000003</v>
      </c>
      <c r="N15" s="146">
        <f>'Basic Parameters'!$E$7*'Basic Parameters'!$E$34/10000</f>
        <v>311.97000000000003</v>
      </c>
      <c r="O15" s="146">
        <f>'Basic Parameters'!$E$7*'Basic Parameters'!$E$34/10000</f>
        <v>311.97000000000003</v>
      </c>
      <c r="P15" s="146">
        <f>'Basic Parameters'!$E$7*'Basic Parameters'!$E$34/10000</f>
        <v>311.97000000000003</v>
      </c>
      <c r="Q15" s="146">
        <f>'Basic Parameters'!$E$7*'Basic Parameters'!$E$34/10000</f>
        <v>311.97000000000003</v>
      </c>
      <c r="R15" s="146">
        <f>'Basic Parameters'!$E$7*'Basic Parameters'!$E$34/10000</f>
        <v>311.97000000000003</v>
      </c>
      <c r="S15" s="146">
        <f>'Basic Parameters'!$E$7*'Basic Parameters'!$E$34/10000</f>
        <v>311.97000000000003</v>
      </c>
      <c r="T15" s="146">
        <f>'Basic Parameters'!$E$7*'Basic Parameters'!$E$34/10000</f>
        <v>311.97000000000003</v>
      </c>
      <c r="U15" s="146">
        <f>'Basic Parameters'!$E$7*'Basic Parameters'!$E$34/10000</f>
        <v>311.97000000000003</v>
      </c>
      <c r="V15" s="146">
        <f>'Basic Parameters'!$E$7*'Basic Parameters'!$E$34/10000</f>
        <v>311.97000000000003</v>
      </c>
      <c r="W15" s="146">
        <f>'Basic Parameters'!$E$7*'Basic Parameters'!$E$34/10000</f>
        <v>311.97000000000003</v>
      </c>
      <c r="X15" s="147">
        <f>'Basic Parameters'!$E$7*'Basic Parameters'!$E$34/10000</f>
        <v>311.97000000000003</v>
      </c>
    </row>
    <row r="16" spans="2:25" s="3" customFormat="1" ht="20.100000000000001" customHeight="1">
      <c r="B16" s="76">
        <v>4.5</v>
      </c>
      <c r="C16" s="37" t="s">
        <v>63</v>
      </c>
      <c r="D16" s="38"/>
      <c r="E16" s="149">
        <f>('Basic Parameters'!E12+'Basic Parameters'!E13)*'Basic Parameters'!E32</f>
        <v>120.205</v>
      </c>
      <c r="F16" s="149">
        <f>E16</f>
        <v>120.205</v>
      </c>
      <c r="G16" s="149">
        <f t="shared" ref="G16:X16" si="2">F16</f>
        <v>120.205</v>
      </c>
      <c r="H16" s="149">
        <f t="shared" si="2"/>
        <v>120.205</v>
      </c>
      <c r="I16" s="149">
        <f t="shared" si="2"/>
        <v>120.205</v>
      </c>
      <c r="J16" s="149">
        <f t="shared" si="2"/>
        <v>120.205</v>
      </c>
      <c r="K16" s="149">
        <f t="shared" si="2"/>
        <v>120.205</v>
      </c>
      <c r="L16" s="149">
        <f t="shared" si="2"/>
        <v>120.205</v>
      </c>
      <c r="M16" s="149">
        <f t="shared" si="2"/>
        <v>120.205</v>
      </c>
      <c r="N16" s="149">
        <f t="shared" si="2"/>
        <v>120.205</v>
      </c>
      <c r="O16" s="149">
        <f t="shared" si="2"/>
        <v>120.205</v>
      </c>
      <c r="P16" s="149">
        <f t="shared" si="2"/>
        <v>120.205</v>
      </c>
      <c r="Q16" s="149">
        <f t="shared" si="2"/>
        <v>120.205</v>
      </c>
      <c r="R16" s="149">
        <f t="shared" si="2"/>
        <v>120.205</v>
      </c>
      <c r="S16" s="149">
        <f t="shared" si="2"/>
        <v>120.205</v>
      </c>
      <c r="T16" s="149">
        <f t="shared" si="2"/>
        <v>120.205</v>
      </c>
      <c r="U16" s="149">
        <f t="shared" si="2"/>
        <v>120.205</v>
      </c>
      <c r="V16" s="149">
        <f t="shared" si="2"/>
        <v>120.205</v>
      </c>
      <c r="W16" s="149">
        <f t="shared" si="2"/>
        <v>120.205</v>
      </c>
      <c r="X16" s="150">
        <f t="shared" si="2"/>
        <v>120.205</v>
      </c>
      <c r="Y16" s="1"/>
    </row>
    <row r="24" spans="9:9" ht="20.100000000000001" customHeight="1">
      <c r="I24" s="55"/>
    </row>
  </sheetData>
  <mergeCells count="5">
    <mergeCell ref="B1:X1"/>
    <mergeCell ref="B2:X2"/>
    <mergeCell ref="E3:X3"/>
    <mergeCell ref="B3:B4"/>
    <mergeCell ref="C3:C4"/>
  </mergeCells>
  <phoneticPr fontId="29" type="noConversion"/>
  <pageMargins left="0.69861111111111107" right="0.69861111111111107" top="0.75" bottom="0.75" header="0.3" footer="0.3"/>
  <pageSetup paperSize="9" firstPageNumber="4294963191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4"/>
  <sheetViews>
    <sheetView zoomScaleSheetLayoutView="100" workbookViewId="0">
      <selection activeCell="H29" sqref="H29"/>
    </sheetView>
  </sheetViews>
  <sheetFormatPr defaultRowHeight="20.100000000000001" customHeight="1"/>
  <cols>
    <col min="1" max="1" width="5.625" style="7" customWidth="1"/>
    <col min="2" max="2" width="25" style="1" customWidth="1"/>
    <col min="3" max="3" width="10" style="7" customWidth="1"/>
    <col min="4" max="4" width="8.25" style="7" customWidth="1"/>
    <col min="5" max="5" width="7.875" style="7" customWidth="1"/>
    <col min="6" max="7" width="8.125" style="7" customWidth="1"/>
    <col min="8" max="8" width="8.375" style="7" customWidth="1"/>
    <col min="9" max="9" width="7.625" style="7" customWidth="1"/>
    <col min="10" max="10" width="8.125" style="7" customWidth="1"/>
    <col min="11" max="11" width="7.375" style="7" customWidth="1"/>
    <col min="12" max="12" width="8.375" style="7" customWidth="1"/>
    <col min="13" max="13" width="8.25" style="7" customWidth="1"/>
    <col min="14" max="14" width="7.5" style="7" customWidth="1"/>
    <col min="15" max="15" width="6.875" style="7" customWidth="1"/>
    <col min="16" max="17" width="7.5" style="7" customWidth="1"/>
    <col min="18" max="18" width="7.625" style="7" customWidth="1"/>
    <col min="19" max="19" width="8" style="7" customWidth="1"/>
    <col min="20" max="20" width="8.125" style="7" customWidth="1"/>
    <col min="21" max="21" width="8.25" style="7" customWidth="1"/>
    <col min="22" max="22" width="8.75" style="7" customWidth="1"/>
    <col min="23" max="23" width="7.5" style="7" customWidth="1"/>
    <col min="24" max="24" width="9" style="1" bestFit="1"/>
    <col min="25" max="16384" width="9" style="1"/>
  </cols>
  <sheetData>
    <row r="1" spans="1:26" ht="20.100000000000001" customHeight="1">
      <c r="A1" s="161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</row>
    <row r="2" spans="1:26" s="2" customFormat="1" ht="20.100000000000001" customHeight="1">
      <c r="A2" s="172" t="s">
        <v>64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4"/>
    </row>
    <row r="3" spans="1:26" s="3" customFormat="1" ht="26.25" customHeight="1">
      <c r="A3" s="178" t="s">
        <v>0</v>
      </c>
      <c r="B3" s="180" t="s">
        <v>52</v>
      </c>
      <c r="C3" s="74" t="s">
        <v>53</v>
      </c>
      <c r="D3" s="175" t="s">
        <v>65</v>
      </c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7"/>
    </row>
    <row r="4" spans="1:26" s="3" customFormat="1" ht="20.100000000000001" customHeight="1">
      <c r="A4" s="179"/>
      <c r="B4" s="181"/>
      <c r="C4" s="74">
        <v>1</v>
      </c>
      <c r="D4" s="74">
        <v>2</v>
      </c>
      <c r="E4" s="74">
        <v>3</v>
      </c>
      <c r="F4" s="74">
        <v>4</v>
      </c>
      <c r="G4" s="74">
        <v>5</v>
      </c>
      <c r="H4" s="74">
        <v>6</v>
      </c>
      <c r="I4" s="74">
        <v>7</v>
      </c>
      <c r="J4" s="74">
        <v>8</v>
      </c>
      <c r="K4" s="74">
        <v>9</v>
      </c>
      <c r="L4" s="74">
        <v>10</v>
      </c>
      <c r="M4" s="74">
        <v>11</v>
      </c>
      <c r="N4" s="74">
        <v>12</v>
      </c>
      <c r="O4" s="74">
        <v>13</v>
      </c>
      <c r="P4" s="74">
        <v>14</v>
      </c>
      <c r="Q4" s="74">
        <v>15</v>
      </c>
      <c r="R4" s="74">
        <v>16</v>
      </c>
      <c r="S4" s="74">
        <v>17</v>
      </c>
      <c r="T4" s="74">
        <v>18</v>
      </c>
      <c r="U4" s="74">
        <v>19</v>
      </c>
      <c r="V4" s="74">
        <v>20</v>
      </c>
      <c r="W4" s="32">
        <v>21</v>
      </c>
    </row>
    <row r="5" spans="1:26" s="3" customFormat="1" ht="20.100000000000001" customHeight="1">
      <c r="A5" s="28">
        <v>1</v>
      </c>
      <c r="B5" s="14" t="s">
        <v>66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29"/>
    </row>
    <row r="6" spans="1:26" s="3" customFormat="1" ht="26.25" customHeight="1">
      <c r="A6" s="33">
        <v>1.1000000000000001</v>
      </c>
      <c r="B6" s="4" t="s">
        <v>67</v>
      </c>
      <c r="C6" s="13"/>
      <c r="D6" s="104">
        <f>'Basic Parameters'!E16</f>
        <v>38485</v>
      </c>
      <c r="E6" s="104">
        <f>D6-D7</f>
        <v>36222.304945016585</v>
      </c>
      <c r="F6" s="104">
        <f t="shared" ref="F6:O6" si="0">E6-E7</f>
        <v>33820.680413657188</v>
      </c>
      <c r="G6" s="104">
        <f t="shared" si="0"/>
        <v>31271.596136072323</v>
      </c>
      <c r="H6" s="104">
        <f t="shared" si="0"/>
        <v>28565.998083843748</v>
      </c>
      <c r="I6" s="104">
        <f t="shared" si="0"/>
        <v>25694.276311208338</v>
      </c>
      <c r="J6" s="104">
        <f t="shared" si="0"/>
        <v>22646.230821733112</v>
      </c>
      <c r="K6" s="104">
        <f t="shared" si="0"/>
        <v>19411.035339204111</v>
      </c>
      <c r="L6" s="104">
        <f t="shared" si="0"/>
        <v>15977.198854047827</v>
      </c>
      <c r="M6" s="104">
        <f t="shared" si="0"/>
        <v>12332.524808702949</v>
      </c>
      <c r="N6" s="104">
        <f t="shared" si="0"/>
        <v>8464.0677769738941</v>
      </c>
      <c r="O6" s="104">
        <f t="shared" si="0"/>
        <v>4358.0874834966762</v>
      </c>
      <c r="P6" s="104"/>
      <c r="Q6" s="104"/>
      <c r="R6" s="104"/>
      <c r="S6" s="104"/>
      <c r="T6" s="104"/>
      <c r="U6" s="104"/>
      <c r="V6" s="104"/>
      <c r="W6" s="139"/>
    </row>
    <row r="7" spans="1:26" s="3" customFormat="1" ht="20.100000000000001" customHeight="1">
      <c r="A7" s="33">
        <v>1.2</v>
      </c>
      <c r="B7" s="4" t="s">
        <v>68</v>
      </c>
      <c r="C7" s="13"/>
      <c r="D7" s="104">
        <f>-PPMT('Basic Parameters'!$E$19,'Loan &amp; Payment'!C4,12,'Loan &amp; Payment'!$D$6)</f>
        <v>2262.6950549834164</v>
      </c>
      <c r="E7" s="104">
        <f>-PPMT('Basic Parameters'!$E$19,'Loan &amp; Payment'!D4,12,'Loan &amp; Payment'!$D$6)</f>
        <v>2401.6245313593977</v>
      </c>
      <c r="F7" s="104">
        <f>-PPMT('Basic Parameters'!$E$19,'Loan &amp; Payment'!E4,12,'Loan &amp; Payment'!$D$6)</f>
        <v>2549.084277584865</v>
      </c>
      <c r="G7" s="104">
        <f>-PPMT('Basic Parameters'!$E$19,'Loan &amp; Payment'!F4,12,'Loan &amp; Payment'!$D$6)</f>
        <v>2705.5980522285754</v>
      </c>
      <c r="H7" s="104">
        <f>-PPMT('Basic Parameters'!$E$19,'Loan &amp; Payment'!G4,12,'Loan &amp; Payment'!$D$6)</f>
        <v>2871.7217726354102</v>
      </c>
      <c r="I7" s="104">
        <f>-PPMT('Basic Parameters'!$E$19,'Loan &amp; Payment'!H4,12,'Loan &amp; Payment'!$D$6)</f>
        <v>3048.0454894752243</v>
      </c>
      <c r="J7" s="104">
        <f>-PPMT('Basic Parameters'!$E$19,'Loan &amp; Payment'!I4,12,'Loan &amp; Payment'!$D$6)</f>
        <v>3235.1954825290027</v>
      </c>
      <c r="K7" s="104">
        <f>-PPMT('Basic Parameters'!$E$19,'Loan &amp; Payment'!J4,12,'Loan &amp; Payment'!$D$6)</f>
        <v>3433.8364851562828</v>
      </c>
      <c r="L7" s="104">
        <f>-PPMT('Basic Parameters'!$E$19,'Loan &amp; Payment'!K4,12,'Loan &amp; Payment'!$D$6)</f>
        <v>3644.6740453448788</v>
      </c>
      <c r="M7" s="104">
        <f>-PPMT('Basic Parameters'!$E$19,'Loan &amp; Payment'!L4,12,'Loan &amp; Payment'!$D$6)</f>
        <v>3868.4570317290536</v>
      </c>
      <c r="N7" s="104">
        <f>-PPMT('Basic Parameters'!$E$19,'Loan &amp; Payment'!M4,12,'Loan &amp; Payment'!$D$6)</f>
        <v>4105.9802934772179</v>
      </c>
      <c r="O7" s="104">
        <f>-PPMT('Basic Parameters'!$E$19,'Loan &amp; Payment'!N4,12,'Loan &amp; Payment'!$D$6)</f>
        <v>4358.0874834967181</v>
      </c>
      <c r="P7" s="104"/>
      <c r="Q7" s="104"/>
      <c r="R7" s="104"/>
      <c r="S7" s="104"/>
      <c r="T7" s="104"/>
      <c r="U7" s="104"/>
      <c r="V7" s="104"/>
      <c r="W7" s="139"/>
    </row>
    <row r="8" spans="1:26" s="3" customFormat="1" ht="20.100000000000001" customHeight="1">
      <c r="A8" s="33"/>
      <c r="B8" s="4" t="s">
        <v>55</v>
      </c>
      <c r="C8" s="13"/>
      <c r="D8" s="104">
        <f>'Total Cost &amp; Expenses'!E6</f>
        <v>3045.1933333333327</v>
      </c>
      <c r="E8" s="104">
        <f>'Total Cost &amp; Expenses'!F6</f>
        <v>3045.1933333333327</v>
      </c>
      <c r="F8" s="104">
        <f>'Total Cost &amp; Expenses'!G6</f>
        <v>3045.1933333333327</v>
      </c>
      <c r="G8" s="104">
        <f>'Total Cost &amp; Expenses'!H6</f>
        <v>3045.1933333333327</v>
      </c>
      <c r="H8" s="104">
        <f>'Total Cost &amp; Expenses'!I6</f>
        <v>3045.1933333333327</v>
      </c>
      <c r="I8" s="104">
        <f>'Total Cost &amp; Expenses'!J6</f>
        <v>3045.1933333333327</v>
      </c>
      <c r="J8" s="104">
        <f>'Total Cost &amp; Expenses'!K6</f>
        <v>3045.1933333333327</v>
      </c>
      <c r="K8" s="104">
        <f>'Total Cost &amp; Expenses'!L6</f>
        <v>3045.1933333333327</v>
      </c>
      <c r="L8" s="104">
        <f>'Total Cost &amp; Expenses'!M6</f>
        <v>3045.1933333333327</v>
      </c>
      <c r="M8" s="104">
        <f>'Total Cost &amp; Expenses'!N6</f>
        <v>3045.1933333333327</v>
      </c>
      <c r="N8" s="104">
        <f>'Total Cost &amp; Expenses'!O6</f>
        <v>3045.1933333333327</v>
      </c>
      <c r="O8" s="104">
        <f>'Total Cost &amp; Expenses'!P6</f>
        <v>3045.1933333333327</v>
      </c>
      <c r="P8" s="104">
        <f>'Total Cost &amp; Expenses'!Q6</f>
        <v>3045.1933333333327</v>
      </c>
      <c r="Q8" s="104">
        <f>'Total Cost &amp; Expenses'!R6</f>
        <v>3045.1933333333327</v>
      </c>
      <c r="R8" s="104">
        <f>'Total Cost &amp; Expenses'!S6</f>
        <v>3045.1933333333327</v>
      </c>
      <c r="S8" s="104"/>
      <c r="T8" s="104"/>
      <c r="U8" s="104"/>
      <c r="V8" s="104"/>
      <c r="W8" s="139"/>
    </row>
    <row r="9" spans="1:26" s="3" customFormat="1" ht="20.100000000000001" customHeight="1">
      <c r="A9" s="33">
        <v>1.3</v>
      </c>
      <c r="B9" s="4" t="s">
        <v>69</v>
      </c>
      <c r="C9" s="13"/>
      <c r="D9" s="140">
        <f>-IPMT('Basic Parameters'!$E$19,'Loan &amp; Payment'!C4,12,'Loan &amp; Payment'!$D$6)</f>
        <v>2362.9790000000003</v>
      </c>
      <c r="E9" s="140">
        <f>-IPMT('Basic Parameters'!$E$19,'Loan &amp; Payment'!D4,12,'Loan &amp; Payment'!$D$6)</f>
        <v>2224.049523624019</v>
      </c>
      <c r="F9" s="140">
        <f>-IPMT('Basic Parameters'!$E$19,'Loan &amp; Payment'!E4,12,'Loan &amp; Payment'!$D$6)</f>
        <v>2076.5897773985516</v>
      </c>
      <c r="G9" s="140">
        <f>-IPMT('Basic Parameters'!$E$19,'Loan &amp; Payment'!F4,12,'Loan &amp; Payment'!$D$6)</f>
        <v>1920.0760027548411</v>
      </c>
      <c r="H9" s="140">
        <f>-IPMT('Basic Parameters'!$E$19,'Loan &amp; Payment'!G4,12,'Loan &amp; Payment'!$D$6)</f>
        <v>1753.9522823480067</v>
      </c>
      <c r="I9" s="140">
        <f>-IPMT('Basic Parameters'!$E$19,'Loan &amp; Payment'!H4,12,'Loan &amp; Payment'!$D$6)</f>
        <v>1577.6285655081924</v>
      </c>
      <c r="J9" s="140">
        <f>-IPMT('Basic Parameters'!$E$19,'Loan &amp; Payment'!I4,12,'Loan &amp; Payment'!$D$6)</f>
        <v>1390.478572454414</v>
      </c>
      <c r="K9" s="140">
        <f>-IPMT('Basic Parameters'!$E$19,'Loan &amp; Payment'!J4,12,'Loan &amp; Payment'!$D$6)</f>
        <v>1191.8375698271336</v>
      </c>
      <c r="L9" s="140">
        <f>-IPMT('Basic Parameters'!$E$19,'Loan &amp; Payment'!K4,12,'Loan &amp; Payment'!$D$6)</f>
        <v>981.00000963853802</v>
      </c>
      <c r="M9" s="140">
        <f>-IPMT('Basic Parameters'!$E$19,'Loan &amp; Payment'!L4,12,'Loan &amp; Payment'!$D$6)</f>
        <v>757.2170232543632</v>
      </c>
      <c r="N9" s="140">
        <f>-IPMT('Basic Parameters'!$E$19,'Loan &amp; Payment'!M4,12,'Loan &amp; Payment'!$D$6)</f>
        <v>519.69376150619871</v>
      </c>
      <c r="O9" s="140">
        <f>-IPMT('Basic Parameters'!$E$19,'Loan &amp; Payment'!N4,12,'Loan &amp; Payment'!$D$6)</f>
        <v>267.58657148669897</v>
      </c>
      <c r="P9" s="140"/>
      <c r="Q9" s="104"/>
      <c r="R9" s="104"/>
      <c r="S9" s="104"/>
      <c r="T9" s="104"/>
      <c r="U9" s="104"/>
      <c r="V9" s="104"/>
      <c r="W9" s="139"/>
    </row>
    <row r="10" spans="1:26" s="3" customFormat="1" ht="20.100000000000001" customHeight="1">
      <c r="A10" s="28">
        <v>2</v>
      </c>
      <c r="B10" s="14" t="s">
        <v>70</v>
      </c>
      <c r="C10" s="13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39"/>
    </row>
    <row r="11" spans="1:26" s="3" customFormat="1" ht="27" customHeight="1">
      <c r="A11" s="33">
        <v>2.1</v>
      </c>
      <c r="B11" s="4" t="s">
        <v>67</v>
      </c>
      <c r="C11" s="13"/>
      <c r="D11" s="108">
        <f>'Basic Parameters'!$E$20</f>
        <v>94.5</v>
      </c>
      <c r="E11" s="108">
        <f>'Basic Parameters'!$E$20</f>
        <v>94.5</v>
      </c>
      <c r="F11" s="108">
        <f>'Basic Parameters'!$E$20</f>
        <v>94.5</v>
      </c>
      <c r="G11" s="108">
        <f>'Basic Parameters'!$E$20</f>
        <v>94.5</v>
      </c>
      <c r="H11" s="108">
        <f>'Basic Parameters'!$E$20</f>
        <v>94.5</v>
      </c>
      <c r="I11" s="108">
        <f>'Basic Parameters'!$E$20</f>
        <v>94.5</v>
      </c>
      <c r="J11" s="108">
        <f>'Basic Parameters'!$E$20</f>
        <v>94.5</v>
      </c>
      <c r="K11" s="108">
        <f>'Basic Parameters'!$E$20</f>
        <v>94.5</v>
      </c>
      <c r="L11" s="108">
        <f>'Basic Parameters'!$E$20</f>
        <v>94.5</v>
      </c>
      <c r="M11" s="108">
        <f>'Basic Parameters'!$E$20</f>
        <v>94.5</v>
      </c>
      <c r="N11" s="108">
        <f>'Basic Parameters'!$E$20</f>
        <v>94.5</v>
      </c>
      <c r="O11" s="108">
        <f>'Basic Parameters'!$E$20</f>
        <v>94.5</v>
      </c>
      <c r="P11" s="108">
        <f>'Basic Parameters'!$E$20</f>
        <v>94.5</v>
      </c>
      <c r="Q11" s="108">
        <f>'Basic Parameters'!$E$20</f>
        <v>94.5</v>
      </c>
      <c r="R11" s="108">
        <f>'Basic Parameters'!$E$20</f>
        <v>94.5</v>
      </c>
      <c r="S11" s="108">
        <f>'Basic Parameters'!$E$20</f>
        <v>94.5</v>
      </c>
      <c r="T11" s="108">
        <f>'Basic Parameters'!$E$20</f>
        <v>94.5</v>
      </c>
      <c r="U11" s="108">
        <f>'Basic Parameters'!$E$20</f>
        <v>94.5</v>
      </c>
      <c r="V11" s="108">
        <f>'Basic Parameters'!$E$20</f>
        <v>94.5</v>
      </c>
      <c r="W11" s="109">
        <f>'Basic Parameters'!$E$20</f>
        <v>94.5</v>
      </c>
    </row>
    <row r="12" spans="1:26" s="3" customFormat="1" ht="20.100000000000001" customHeight="1">
      <c r="A12" s="33">
        <v>2.2000000000000002</v>
      </c>
      <c r="B12" s="4" t="s">
        <v>71</v>
      </c>
      <c r="C12" s="13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39"/>
    </row>
    <row r="13" spans="1:26" s="3" customFormat="1" ht="20.100000000000001" customHeight="1">
      <c r="A13" s="33">
        <v>2.2999999999999998</v>
      </c>
      <c r="B13" s="4" t="s">
        <v>69</v>
      </c>
      <c r="C13" s="13"/>
      <c r="D13" s="104">
        <f>D11*'Basic Parameters'!$E$21</f>
        <v>5.2542</v>
      </c>
      <c r="E13" s="104">
        <f>E11*'Basic Parameters'!$E$21</f>
        <v>5.2542</v>
      </c>
      <c r="F13" s="104">
        <f>F11*'Basic Parameters'!$E$21</f>
        <v>5.2542</v>
      </c>
      <c r="G13" s="104">
        <f>G11*'Basic Parameters'!$E$21</f>
        <v>5.2542</v>
      </c>
      <c r="H13" s="104">
        <f>H11*'Basic Parameters'!$E$21</f>
        <v>5.2542</v>
      </c>
      <c r="I13" s="104">
        <f>I11*'Basic Parameters'!$E$21</f>
        <v>5.2542</v>
      </c>
      <c r="J13" s="104">
        <f>J11*'Basic Parameters'!$E$21</f>
        <v>5.2542</v>
      </c>
      <c r="K13" s="104">
        <f>K11*'Basic Parameters'!$E$21</f>
        <v>5.2542</v>
      </c>
      <c r="L13" s="104">
        <f>L11*'Basic Parameters'!$E$21</f>
        <v>5.2542</v>
      </c>
      <c r="M13" s="104">
        <f>M11*'Basic Parameters'!$E$21</f>
        <v>5.2542</v>
      </c>
      <c r="N13" s="104">
        <f>N11*'Basic Parameters'!$E$21</f>
        <v>5.2542</v>
      </c>
      <c r="O13" s="104">
        <f>O11*'Basic Parameters'!$E$21</f>
        <v>5.2542</v>
      </c>
      <c r="P13" s="104">
        <f>P11*'Basic Parameters'!$E$21</f>
        <v>5.2542</v>
      </c>
      <c r="Q13" s="104">
        <f>Q11*'Basic Parameters'!$E$21</f>
        <v>5.2542</v>
      </c>
      <c r="R13" s="104">
        <f>R11*'Basic Parameters'!$E$21</f>
        <v>5.2542</v>
      </c>
      <c r="S13" s="104">
        <f>S11*'Basic Parameters'!$E$21</f>
        <v>5.2542</v>
      </c>
      <c r="T13" s="104">
        <f>T11*'Basic Parameters'!$E$21</f>
        <v>5.2542</v>
      </c>
      <c r="U13" s="104">
        <f>U11*'Basic Parameters'!$E$21</f>
        <v>5.2542</v>
      </c>
      <c r="V13" s="104">
        <f>V11*'Basic Parameters'!$E$21</f>
        <v>5.2542</v>
      </c>
      <c r="W13" s="105">
        <f>W11*'Basic Parameters'!$E$21</f>
        <v>5.2542</v>
      </c>
    </row>
    <row r="14" spans="1:26" s="3" customFormat="1" ht="20.100000000000001" customHeight="1">
      <c r="A14" s="28">
        <v>3</v>
      </c>
      <c r="B14" s="14" t="s">
        <v>26</v>
      </c>
      <c r="C14" s="13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39"/>
    </row>
    <row r="15" spans="1:26" s="3" customFormat="1" ht="33.75" customHeight="1">
      <c r="A15" s="33">
        <v>3.1</v>
      </c>
      <c r="B15" s="4" t="s">
        <v>67</v>
      </c>
      <c r="C15" s="13"/>
      <c r="D15" s="108">
        <v>0</v>
      </c>
      <c r="E15" s="108">
        <f>IF('Profit &amp; Loss'!E29&lt;0,D15+'Profit &amp; Loss'!E30-D16,0)</f>
        <v>986.75807863247883</v>
      </c>
      <c r="F15" s="108">
        <f>IF('Profit &amp; Loss'!F29&lt;0,E15+'Profit &amp; Loss'!F30-E16,0)</f>
        <v>1889.4504300609424</v>
      </c>
      <c r="G15" s="108">
        <f>IF('Profit &amp; Loss'!G29&lt;0,F15+'Profit &amp; Loss'!G30-F16,0)</f>
        <v>2940.0909300033609</v>
      </c>
      <c r="H15" s="108">
        <f>IF('Profit &amp; Loss'!H29&lt;0,G15+'Profit &amp; Loss'!H30-G16,0)</f>
        <v>3892.6332670988668</v>
      </c>
      <c r="I15" s="108">
        <f>IF('Profit &amp; Loss'!I29&lt;0,H15+'Profit &amp; Loss'!I30-H16,0)</f>
        <v>4732.0132377300488</v>
      </c>
      <c r="J15" s="108">
        <f>IF('Profit &amp; Loss'!J29&lt;0,I15+'Profit &amp; Loss'!J30-I16,0)</f>
        <v>5286.5417717346636</v>
      </c>
      <c r="K15" s="108">
        <f>IF('Profit &amp; Loss'!K29&lt;0,J15+'Profit &amp; Loss'!K30-J16,0)</f>
        <v>5534.5793043043614</v>
      </c>
      <c r="L15" s="108">
        <f>IF('Profit &amp; Loss'!L29&lt;0,K15+'Profit &amp; Loss'!L30-K16,0)</f>
        <v>5597.7667210576546</v>
      </c>
      <c r="M15" s="108">
        <f>IF('Profit &amp; Loss'!M29&lt;0,L15+'Profit &amp; Loss'!M30-L16,0)</f>
        <v>5597.7667210576546</v>
      </c>
      <c r="N15" s="108">
        <f>IF('Profit &amp; Loss'!N29&lt;0,M15+'Profit &amp; Loss'!N30-M16,0)</f>
        <v>5597.7667210576546</v>
      </c>
      <c r="O15" s="108">
        <f>IF('Profit &amp; Loss'!O29&lt;0,N15+'Profit &amp; Loss'!O30-N16,0)</f>
        <v>5597.7667210576546</v>
      </c>
      <c r="P15" s="108">
        <f>IF('Profit &amp; Loss'!P29&lt;0,O15+'Profit &amp; Loss'!P30-O16,0)</f>
        <v>5536.2901494689022</v>
      </c>
      <c r="Q15" s="108">
        <f>IF('Profit &amp; Loss'!Q29&lt;0,P15+'Profit &amp; Loss'!Q30-P16,0)</f>
        <v>4960.3351269068835</v>
      </c>
      <c r="R15" s="108">
        <f>IF('Profit &amp; Loss'!R29&lt;0,Q15+'Profit &amp; Loss'!R30-Q16,0)</f>
        <v>4360.3627799040278</v>
      </c>
      <c r="S15" s="108">
        <f>IF('Profit &amp; Loss'!S29&lt;0,R15+'Profit &amp; Loss'!S30-R16,0)</f>
        <v>3735.3715860311531</v>
      </c>
      <c r="T15" s="108">
        <f>IF('Profit &amp; Loss'!T29&lt;0,S15+'Profit &amp; Loss'!T30-S16,0)</f>
        <v>1005.9738093737806</v>
      </c>
      <c r="U15" s="108">
        <f>IF('Profit &amp; Loss'!U29&lt;0,T15+'Profit &amp; Loss'!U30-T16,0)</f>
        <v>0</v>
      </c>
      <c r="V15" s="108">
        <f>IF('Profit &amp; Loss'!V29&lt;0,U15+'Profit &amp; Loss'!V30-U16,0)</f>
        <v>0</v>
      </c>
      <c r="W15" s="109">
        <f>IF('Profit &amp; Loss'!W29&lt;0,V15+'Profit &amp; Loss'!W30-V16,0)</f>
        <v>0</v>
      </c>
    </row>
    <row r="16" spans="1:26" s="3" customFormat="1" ht="20.100000000000001" customHeight="1">
      <c r="A16" s="33">
        <v>3.2</v>
      </c>
      <c r="B16" s="4" t="s">
        <v>71</v>
      </c>
      <c r="C16" s="13"/>
      <c r="D16" s="108">
        <f>IF('Profit &amp; Loss'!E28&lt;0,0,MIN(D15,'Profit &amp; Loss'!E28))</f>
        <v>0</v>
      </c>
      <c r="E16" s="108">
        <f>IF('Profit &amp; Loss'!F28&lt;0,0,MIN(E15,'Profit &amp; Loss'!F28))</f>
        <v>0</v>
      </c>
      <c r="F16" s="108">
        <f>IF('Profit &amp; Loss'!G28&lt;0,0,MIN(F15,'Profit &amp; Loss'!G28))</f>
        <v>0</v>
      </c>
      <c r="G16" s="108">
        <f>IF('Profit &amp; Loss'!H28&lt;0,0,MIN(G15,'Profit &amp; Loss'!H28))</f>
        <v>0</v>
      </c>
      <c r="H16" s="108">
        <f>IF('Profit &amp; Loss'!I28&lt;0,0,MIN(H15,'Profit &amp; Loss'!I28))</f>
        <v>0</v>
      </c>
      <c r="I16" s="108">
        <f>IF('Profit &amp; Loss'!J28&lt;0,0,MIN(I15,'Profit &amp; Loss'!J28))</f>
        <v>0</v>
      </c>
      <c r="J16" s="108">
        <f>IF('Profit &amp; Loss'!K28&lt;0,0,MIN(J15,'Profit &amp; Loss'!K28))</f>
        <v>0</v>
      </c>
      <c r="K16" s="108">
        <f>IF('Profit &amp; Loss'!L28&lt;0,0,MIN(K15,'Profit &amp; Loss'!L28))</f>
        <v>0</v>
      </c>
      <c r="L16" s="108">
        <f>IF('Profit &amp; Loss'!M28&lt;0,0,MIN(L15,'Profit &amp; Loss'!M28))</f>
        <v>0</v>
      </c>
      <c r="M16" s="108">
        <f>IF('Profit &amp; Loss'!N28&lt;0,0,MIN(M15,'Profit &amp; Loss'!N28))</f>
        <v>0</v>
      </c>
      <c r="N16" s="108">
        <f>IF('Profit &amp; Loss'!O28&lt;0,0,MIN(N15,'Profit &amp; Loss'!O28))</f>
        <v>0</v>
      </c>
      <c r="O16" s="108">
        <f>IF('Profit &amp; Loss'!P28&lt;0,0,MIN(O15,'Profit &amp; Loss'!P28))</f>
        <v>61.476571588752677</v>
      </c>
      <c r="P16" s="108">
        <f>IF('Profit &amp; Loss'!Q28&lt;0,0,MIN(P15,'Profit &amp; Loss'!Q28))</f>
        <v>575.95502256201894</v>
      </c>
      <c r="Q16" s="108">
        <f>IF('Profit &amp; Loss'!R28&lt;0,0,MIN(Q15,'Profit &amp; Loss'!R28))</f>
        <v>599.97234700285526</v>
      </c>
      <c r="R16" s="108">
        <f>IF('Profit &amp; Loss'!S28&lt;0,0,MIN(R15,'Profit &amp; Loss'!S28))</f>
        <v>624.99119387287465</v>
      </c>
      <c r="S16" s="108">
        <f>IF('Profit &amp; Loss'!T28&lt;0,0,MIN(S15,'Profit &amp; Loss'!T28))</f>
        <v>2729.3977766573726</v>
      </c>
      <c r="T16" s="108">
        <f>IF('Profit &amp; Loss'!U28&lt;0,0,MIN(T15,'Profit &amp; Loss'!U28))</f>
        <v>1005.9738093737806</v>
      </c>
      <c r="U16" s="108">
        <f>IF('Profit &amp; Loss'!V28&lt;0,0,MIN(U15,'Profit &amp; Loss'!V28))</f>
        <v>0</v>
      </c>
      <c r="V16" s="108">
        <f>IF('Profit &amp; Loss'!W28&lt;0,0,MIN(V15,'Profit &amp; Loss'!W28))</f>
        <v>0</v>
      </c>
      <c r="W16" s="109">
        <f>IF('Profit &amp; Loss'!X28&lt;0,0,MIN(W15,'Profit &amp; Loss'!X28))</f>
        <v>0</v>
      </c>
      <c r="X16" s="12"/>
      <c r="Y16" s="12"/>
      <c r="Z16" s="12"/>
    </row>
    <row r="17" spans="1:23" s="3" customFormat="1" ht="20.100000000000001" customHeight="1">
      <c r="A17" s="76">
        <v>3.3</v>
      </c>
      <c r="B17" s="30" t="s">
        <v>69</v>
      </c>
      <c r="C17" s="31"/>
      <c r="D17" s="141">
        <f>D15*'Basic Parameters'!$E$21</f>
        <v>0</v>
      </c>
      <c r="E17" s="141">
        <f>E15*'Basic Parameters'!$E$21</f>
        <v>54.863749171965821</v>
      </c>
      <c r="F17" s="141">
        <f>F15*'Basic Parameters'!$E$21</f>
        <v>105.05344391138838</v>
      </c>
      <c r="G17" s="141">
        <f>G15*'Basic Parameters'!$E$21</f>
        <v>163.46905570818686</v>
      </c>
      <c r="H17" s="141">
        <f>H15*'Basic Parameters'!$E$21</f>
        <v>216.43040965069699</v>
      </c>
      <c r="I17" s="141">
        <f>I15*'Basic Parameters'!$E$21</f>
        <v>263.0999360177907</v>
      </c>
      <c r="J17" s="141">
        <f>J15*'Basic Parameters'!$E$21</f>
        <v>293.93172250844725</v>
      </c>
      <c r="K17" s="141">
        <f>K15*'Basic Parameters'!$E$21</f>
        <v>307.72260931932249</v>
      </c>
      <c r="L17" s="141">
        <f>L15*'Basic Parameters'!$E$21</f>
        <v>311.23582969080559</v>
      </c>
      <c r="M17" s="141">
        <f>M15*'Basic Parameters'!$E$21</f>
        <v>311.23582969080559</v>
      </c>
      <c r="N17" s="141">
        <f>N15*'Basic Parameters'!$E$21</f>
        <v>311.23582969080559</v>
      </c>
      <c r="O17" s="141">
        <f>O15*'Basic Parameters'!$E$21</f>
        <v>311.23582969080559</v>
      </c>
      <c r="P17" s="141">
        <f>P15*'Basic Parameters'!$E$21</f>
        <v>307.81773231047094</v>
      </c>
      <c r="Q17" s="141">
        <f>Q15*'Basic Parameters'!$E$21</f>
        <v>275.79463305602269</v>
      </c>
      <c r="R17" s="141">
        <f>R15*'Basic Parameters'!$E$21</f>
        <v>242.43617056266393</v>
      </c>
      <c r="S17" s="141">
        <f>S15*'Basic Parameters'!$E$21</f>
        <v>207.68666018333209</v>
      </c>
      <c r="T17" s="141">
        <f>T15*'Basic Parameters'!$E$21</f>
        <v>55.9321438011822</v>
      </c>
      <c r="U17" s="141">
        <f>U15*'Basic Parameters'!$E$21</f>
        <v>0</v>
      </c>
      <c r="V17" s="141">
        <f>V15*'Basic Parameters'!$E$21</f>
        <v>0</v>
      </c>
      <c r="W17" s="142">
        <f>W15*'Basic Parameters'!$E$21</f>
        <v>0</v>
      </c>
    </row>
    <row r="24" spans="1:23" ht="20.100000000000001" customHeight="1">
      <c r="G24" s="56"/>
    </row>
  </sheetData>
  <mergeCells count="5">
    <mergeCell ref="A1:W1"/>
    <mergeCell ref="A2:W2"/>
    <mergeCell ref="D3:W3"/>
    <mergeCell ref="A3:A4"/>
    <mergeCell ref="B3:B4"/>
  </mergeCells>
  <phoneticPr fontId="29" type="noConversion"/>
  <pageMargins left="0.69861111111111107" right="0.69861111111111107" top="0.75" bottom="0.75" header="0.3" footer="0.3"/>
  <pageSetup paperSize="9" firstPageNumber="4294963191" orientation="portrait" horizontalDpi="200" verticalDpi="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3"/>
  <sheetViews>
    <sheetView topLeftCell="A13" zoomScaleSheetLayoutView="100" workbookViewId="0">
      <selection activeCell="F20" sqref="F20"/>
    </sheetView>
  </sheetViews>
  <sheetFormatPr defaultRowHeight="20.100000000000001" customHeight="1"/>
  <cols>
    <col min="1" max="1" width="9" style="1" customWidth="1"/>
    <col min="2" max="2" width="6.25" style="7" customWidth="1"/>
    <col min="3" max="3" width="18.25" style="1" customWidth="1"/>
    <col min="4" max="4" width="9.75" style="7" customWidth="1"/>
    <col min="5" max="24" width="10" style="7" customWidth="1"/>
    <col min="25" max="25" width="9" style="1" bestFit="1"/>
    <col min="26" max="16384" width="9" style="1"/>
  </cols>
  <sheetData>
    <row r="1" spans="2:24" ht="20.100000000000001" customHeight="1"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</row>
    <row r="2" spans="2:24" s="2" customFormat="1" ht="20.100000000000001" customHeight="1">
      <c r="B2" s="182" t="s">
        <v>72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4"/>
    </row>
    <row r="3" spans="2:24" s="3" customFormat="1" ht="25.5" customHeight="1">
      <c r="B3" s="188" t="s">
        <v>0</v>
      </c>
      <c r="C3" s="189" t="s">
        <v>52</v>
      </c>
      <c r="D3" s="27" t="s">
        <v>73</v>
      </c>
      <c r="E3" s="185" t="s">
        <v>74</v>
      </c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7"/>
    </row>
    <row r="4" spans="2:24" s="3" customFormat="1" ht="20.100000000000001" customHeight="1">
      <c r="B4" s="179"/>
      <c r="C4" s="181"/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6">
        <v>6</v>
      </c>
      <c r="J4" s="26">
        <v>7</v>
      </c>
      <c r="K4" s="26">
        <v>8</v>
      </c>
      <c r="L4" s="26">
        <v>9</v>
      </c>
      <c r="M4" s="26">
        <v>10</v>
      </c>
      <c r="N4" s="26">
        <v>11</v>
      </c>
      <c r="O4" s="26">
        <v>12</v>
      </c>
      <c r="P4" s="26">
        <v>13</v>
      </c>
      <c r="Q4" s="26">
        <v>14</v>
      </c>
      <c r="R4" s="26">
        <v>15</v>
      </c>
      <c r="S4" s="26">
        <v>16</v>
      </c>
      <c r="T4" s="26">
        <v>17</v>
      </c>
      <c r="U4" s="26">
        <v>18</v>
      </c>
      <c r="V4" s="26">
        <v>19</v>
      </c>
      <c r="W4" s="26">
        <v>20</v>
      </c>
      <c r="X4" s="32">
        <v>21</v>
      </c>
    </row>
    <row r="5" spans="2:24" s="3" customFormat="1" ht="20.100000000000001" customHeight="1">
      <c r="B5" s="33">
        <v>1</v>
      </c>
      <c r="C5" s="4" t="s">
        <v>75</v>
      </c>
      <c r="D5" s="11"/>
      <c r="E5" s="104">
        <f>E6*E7*100</f>
        <v>5421.7008547008545</v>
      </c>
      <c r="F5" s="104">
        <f t="shared" ref="F5:X5" si="0">F6*F7*100</f>
        <v>5421.7008547008545</v>
      </c>
      <c r="G5" s="104">
        <f t="shared" si="0"/>
        <v>5421.7008547008545</v>
      </c>
      <c r="H5" s="104">
        <f t="shared" si="0"/>
        <v>5421.7008547008545</v>
      </c>
      <c r="I5" s="104">
        <f t="shared" si="0"/>
        <v>5421.7008547008545</v>
      </c>
      <c r="J5" s="104">
        <f t="shared" si="0"/>
        <v>5421.7008547008545</v>
      </c>
      <c r="K5" s="104">
        <f t="shared" si="0"/>
        <v>5421.7008547008545</v>
      </c>
      <c r="L5" s="104">
        <f t="shared" si="0"/>
        <v>5421.7008547008545</v>
      </c>
      <c r="M5" s="104">
        <f t="shared" si="0"/>
        <v>5421.7008547008545</v>
      </c>
      <c r="N5" s="104">
        <f t="shared" si="0"/>
        <v>5421.7008547008545</v>
      </c>
      <c r="O5" s="104">
        <f t="shared" si="0"/>
        <v>5421.7008547008545</v>
      </c>
      <c r="P5" s="104">
        <f t="shared" si="0"/>
        <v>5421.7008547008545</v>
      </c>
      <c r="Q5" s="104">
        <f t="shared" si="0"/>
        <v>5421.7008547008545</v>
      </c>
      <c r="R5" s="104">
        <f t="shared" si="0"/>
        <v>5421.7008547008545</v>
      </c>
      <c r="S5" s="104">
        <f t="shared" si="0"/>
        <v>5421.7008547008545</v>
      </c>
      <c r="T5" s="104">
        <f t="shared" si="0"/>
        <v>5421.7008547008545</v>
      </c>
      <c r="U5" s="104">
        <f t="shared" si="0"/>
        <v>5421.7008547008545</v>
      </c>
      <c r="V5" s="104">
        <f t="shared" si="0"/>
        <v>5421.7008547008545</v>
      </c>
      <c r="W5" s="104">
        <f t="shared" si="0"/>
        <v>5421.7008547008545</v>
      </c>
      <c r="X5" s="105">
        <f t="shared" si="0"/>
        <v>5421.7008547008545</v>
      </c>
    </row>
    <row r="6" spans="2:24" s="3" customFormat="1" ht="20.100000000000001" customHeight="1">
      <c r="B6" s="33">
        <v>1.1000000000000001</v>
      </c>
      <c r="C6" s="4" t="s">
        <v>9</v>
      </c>
      <c r="D6" s="11"/>
      <c r="E6" s="104">
        <f>'Basic Parameters'!$E$7/1000</f>
        <v>103.99</v>
      </c>
      <c r="F6" s="104">
        <f>'Basic Parameters'!$E$7/1000</f>
        <v>103.99</v>
      </c>
      <c r="G6" s="104">
        <f>'Basic Parameters'!$E$7/1000</f>
        <v>103.99</v>
      </c>
      <c r="H6" s="104">
        <f>'Basic Parameters'!$E$7/1000</f>
        <v>103.99</v>
      </c>
      <c r="I6" s="104">
        <f>'Basic Parameters'!$E$7/1000</f>
        <v>103.99</v>
      </c>
      <c r="J6" s="104">
        <f>'Basic Parameters'!$E$7/1000</f>
        <v>103.99</v>
      </c>
      <c r="K6" s="104">
        <f>'Basic Parameters'!$E$7/1000</f>
        <v>103.99</v>
      </c>
      <c r="L6" s="104">
        <f>'Basic Parameters'!$E$7/1000</f>
        <v>103.99</v>
      </c>
      <c r="M6" s="104">
        <f>'Basic Parameters'!$E$7/1000</f>
        <v>103.99</v>
      </c>
      <c r="N6" s="104">
        <f>'Basic Parameters'!$E$7/1000</f>
        <v>103.99</v>
      </c>
      <c r="O6" s="104">
        <f>'Basic Parameters'!$E$7/1000</f>
        <v>103.99</v>
      </c>
      <c r="P6" s="104">
        <f>'Basic Parameters'!$E$7/1000</f>
        <v>103.99</v>
      </c>
      <c r="Q6" s="104">
        <f>'Basic Parameters'!$E$7/1000</f>
        <v>103.99</v>
      </c>
      <c r="R6" s="104">
        <f>'Basic Parameters'!$E$7/1000</f>
        <v>103.99</v>
      </c>
      <c r="S6" s="104">
        <f>'Basic Parameters'!$E$7/1000</f>
        <v>103.99</v>
      </c>
      <c r="T6" s="104">
        <f>'Basic Parameters'!$E$7/1000</f>
        <v>103.99</v>
      </c>
      <c r="U6" s="104">
        <f>'Basic Parameters'!$E$7/1000</f>
        <v>103.99</v>
      </c>
      <c r="V6" s="104">
        <f>'Basic Parameters'!$E$7/1000</f>
        <v>103.99</v>
      </c>
      <c r="W6" s="104">
        <f>'Basic Parameters'!$E$7/1000</f>
        <v>103.99</v>
      </c>
      <c r="X6" s="105">
        <f>'Basic Parameters'!$E$7/1000</f>
        <v>103.99</v>
      </c>
    </row>
    <row r="7" spans="2:24" s="3" customFormat="1" ht="20.100000000000001" customHeight="1">
      <c r="B7" s="33">
        <v>1.2</v>
      </c>
      <c r="C7" s="4" t="s">
        <v>76</v>
      </c>
      <c r="D7" s="11"/>
      <c r="E7" s="104">
        <f>'Basic Parameters'!$E$9</f>
        <v>0.5213675213675214</v>
      </c>
      <c r="F7" s="104">
        <f>'Basic Parameters'!$E$9</f>
        <v>0.5213675213675214</v>
      </c>
      <c r="G7" s="104">
        <f>'Basic Parameters'!$E$9</f>
        <v>0.5213675213675214</v>
      </c>
      <c r="H7" s="104">
        <f>'Basic Parameters'!$E$9</f>
        <v>0.5213675213675214</v>
      </c>
      <c r="I7" s="104">
        <f>'Basic Parameters'!$E$9</f>
        <v>0.5213675213675214</v>
      </c>
      <c r="J7" s="104">
        <f>'Basic Parameters'!$E$9</f>
        <v>0.5213675213675214</v>
      </c>
      <c r="K7" s="104">
        <f>'Basic Parameters'!$E$9</f>
        <v>0.5213675213675214</v>
      </c>
      <c r="L7" s="104">
        <f>'Basic Parameters'!$E$9</f>
        <v>0.5213675213675214</v>
      </c>
      <c r="M7" s="104">
        <f>'Basic Parameters'!$E$9</f>
        <v>0.5213675213675214</v>
      </c>
      <c r="N7" s="104">
        <f>'Basic Parameters'!$E$9</f>
        <v>0.5213675213675214</v>
      </c>
      <c r="O7" s="104">
        <f>'Basic Parameters'!$E$9</f>
        <v>0.5213675213675214</v>
      </c>
      <c r="P7" s="104">
        <f>'Basic Parameters'!$E$9</f>
        <v>0.5213675213675214</v>
      </c>
      <c r="Q7" s="104">
        <f>'Basic Parameters'!$E$9</f>
        <v>0.5213675213675214</v>
      </c>
      <c r="R7" s="104">
        <f>'Basic Parameters'!$E$9</f>
        <v>0.5213675213675214</v>
      </c>
      <c r="S7" s="104">
        <f>'Basic Parameters'!$E$9</f>
        <v>0.5213675213675214</v>
      </c>
      <c r="T7" s="104">
        <f>'Basic Parameters'!$E$9</f>
        <v>0.5213675213675214</v>
      </c>
      <c r="U7" s="104">
        <f>'Basic Parameters'!$E$9</f>
        <v>0.5213675213675214</v>
      </c>
      <c r="V7" s="104">
        <f>'Basic Parameters'!$E$9</f>
        <v>0.5213675213675214</v>
      </c>
      <c r="W7" s="104">
        <f>'Basic Parameters'!$E$9</f>
        <v>0.5213675213675214</v>
      </c>
      <c r="X7" s="105">
        <f>'Basic Parameters'!$E$9</f>
        <v>0.5213675213675214</v>
      </c>
    </row>
    <row r="8" spans="2:24" s="3" customFormat="1" ht="20.100000000000001" customHeight="1">
      <c r="B8" s="33">
        <v>2</v>
      </c>
      <c r="C8" s="4" t="s">
        <v>77</v>
      </c>
      <c r="D8" s="23"/>
      <c r="E8" s="106">
        <f t="shared" ref="E8:X8" si="1">E9+E14</f>
        <v>921.68914529914537</v>
      </c>
      <c r="F8" s="106">
        <f t="shared" si="1"/>
        <v>921.68914529914537</v>
      </c>
      <c r="G8" s="106">
        <f t="shared" si="1"/>
        <v>921.68914529914537</v>
      </c>
      <c r="H8" s="106">
        <f t="shared" si="1"/>
        <v>921.68914529914537</v>
      </c>
      <c r="I8" s="106">
        <f t="shared" si="1"/>
        <v>921.68914529914537</v>
      </c>
      <c r="J8" s="106">
        <f t="shared" si="1"/>
        <v>966.81993504273521</v>
      </c>
      <c r="K8" s="106">
        <f t="shared" si="1"/>
        <v>995.42427692307706</v>
      </c>
      <c r="L8" s="106">
        <f t="shared" si="1"/>
        <v>995.42427692307706</v>
      </c>
      <c r="M8" s="106">
        <f t="shared" si="1"/>
        <v>995.42427692307706</v>
      </c>
      <c r="N8" s="106">
        <f t="shared" si="1"/>
        <v>995.42427692307706</v>
      </c>
      <c r="O8" s="106">
        <f t="shared" si="1"/>
        <v>995.42427692307706</v>
      </c>
      <c r="P8" s="106">
        <f t="shared" si="1"/>
        <v>995.42427692307706</v>
      </c>
      <c r="Q8" s="106">
        <f t="shared" si="1"/>
        <v>995.42427692307706</v>
      </c>
      <c r="R8" s="106">
        <f t="shared" si="1"/>
        <v>995.42427692307706</v>
      </c>
      <c r="S8" s="106">
        <f t="shared" si="1"/>
        <v>995.42427692307706</v>
      </c>
      <c r="T8" s="106">
        <f t="shared" si="1"/>
        <v>995.42427692307706</v>
      </c>
      <c r="U8" s="106">
        <f t="shared" si="1"/>
        <v>995.42427692307706</v>
      </c>
      <c r="V8" s="106">
        <f t="shared" si="1"/>
        <v>995.42427692307706</v>
      </c>
      <c r="W8" s="106">
        <f t="shared" si="1"/>
        <v>995.42427692307706</v>
      </c>
      <c r="X8" s="107">
        <f t="shared" si="1"/>
        <v>995.42427692307706</v>
      </c>
    </row>
    <row r="9" spans="2:24" s="3" customFormat="1" ht="20.100000000000001" customHeight="1">
      <c r="B9" s="33">
        <v>2.1</v>
      </c>
      <c r="C9" s="4" t="s">
        <v>78</v>
      </c>
      <c r="D9" s="23"/>
      <c r="E9" s="104">
        <f>E5*'Basic Parameters'!E41</f>
        <v>921.68914529914537</v>
      </c>
      <c r="F9" s="104">
        <f>E9</f>
        <v>921.68914529914537</v>
      </c>
      <c r="G9" s="104">
        <f t="shared" ref="G9:X9" si="2">F9</f>
        <v>921.68914529914537</v>
      </c>
      <c r="H9" s="104">
        <f t="shared" si="2"/>
        <v>921.68914529914537</v>
      </c>
      <c r="I9" s="104">
        <f t="shared" si="2"/>
        <v>921.68914529914537</v>
      </c>
      <c r="J9" s="104">
        <f t="shared" si="2"/>
        <v>921.68914529914537</v>
      </c>
      <c r="K9" s="104">
        <f t="shared" si="2"/>
        <v>921.68914529914537</v>
      </c>
      <c r="L9" s="104">
        <f t="shared" si="2"/>
        <v>921.68914529914537</v>
      </c>
      <c r="M9" s="104">
        <f t="shared" si="2"/>
        <v>921.68914529914537</v>
      </c>
      <c r="N9" s="104">
        <f t="shared" si="2"/>
        <v>921.68914529914537</v>
      </c>
      <c r="O9" s="104">
        <f t="shared" si="2"/>
        <v>921.68914529914537</v>
      </c>
      <c r="P9" s="104">
        <f t="shared" si="2"/>
        <v>921.68914529914537</v>
      </c>
      <c r="Q9" s="104">
        <f t="shared" si="2"/>
        <v>921.68914529914537</v>
      </c>
      <c r="R9" s="104">
        <f t="shared" si="2"/>
        <v>921.68914529914537</v>
      </c>
      <c r="S9" s="104">
        <f t="shared" si="2"/>
        <v>921.68914529914537</v>
      </c>
      <c r="T9" s="104">
        <f t="shared" si="2"/>
        <v>921.68914529914537</v>
      </c>
      <c r="U9" s="104">
        <f t="shared" si="2"/>
        <v>921.68914529914537</v>
      </c>
      <c r="V9" s="104">
        <f t="shared" si="2"/>
        <v>921.68914529914537</v>
      </c>
      <c r="W9" s="104">
        <f t="shared" si="2"/>
        <v>921.68914529914537</v>
      </c>
      <c r="X9" s="104">
        <f t="shared" si="2"/>
        <v>921.68914529914537</v>
      </c>
    </row>
    <row r="10" spans="2:24" s="3" customFormat="1" ht="20.100000000000001" customHeight="1">
      <c r="B10" s="33"/>
      <c r="C10" s="4" t="s">
        <v>79</v>
      </c>
      <c r="D10" s="23"/>
      <c r="E10" s="104">
        <f>E9</f>
        <v>921.68914529914537</v>
      </c>
      <c r="F10" s="104">
        <f>F9+E10</f>
        <v>1843.3782905982907</v>
      </c>
      <c r="G10" s="104">
        <f t="shared" ref="G10:X10" si="3">G9+F10</f>
        <v>2765.0674358974361</v>
      </c>
      <c r="H10" s="104">
        <f t="shared" si="3"/>
        <v>3686.7565811965815</v>
      </c>
      <c r="I10" s="104">
        <f t="shared" si="3"/>
        <v>4608.4457264957273</v>
      </c>
      <c r="J10" s="104">
        <f t="shared" si="3"/>
        <v>5530.1348717948731</v>
      </c>
      <c r="K10" s="104">
        <f t="shared" si="3"/>
        <v>6451.8240170940189</v>
      </c>
      <c r="L10" s="104">
        <f t="shared" si="3"/>
        <v>7373.5131623931647</v>
      </c>
      <c r="M10" s="104">
        <f t="shared" si="3"/>
        <v>8295.2023076923106</v>
      </c>
      <c r="N10" s="104">
        <f t="shared" si="3"/>
        <v>9216.8914529914564</v>
      </c>
      <c r="O10" s="104">
        <f t="shared" si="3"/>
        <v>10138.580598290602</v>
      </c>
      <c r="P10" s="104">
        <f t="shared" si="3"/>
        <v>11060.269743589748</v>
      </c>
      <c r="Q10" s="104">
        <f t="shared" si="3"/>
        <v>11981.958888888894</v>
      </c>
      <c r="R10" s="104">
        <f t="shared" si="3"/>
        <v>12903.64803418804</v>
      </c>
      <c r="S10" s="104">
        <f t="shared" si="3"/>
        <v>13825.337179487185</v>
      </c>
      <c r="T10" s="104">
        <f t="shared" si="3"/>
        <v>14747.026324786331</v>
      </c>
      <c r="U10" s="104">
        <f t="shared" si="3"/>
        <v>15668.715470085477</v>
      </c>
      <c r="V10" s="104">
        <f t="shared" si="3"/>
        <v>16590.404615384621</v>
      </c>
      <c r="W10" s="104">
        <f t="shared" si="3"/>
        <v>17512.093760683765</v>
      </c>
      <c r="X10" s="104">
        <f t="shared" si="3"/>
        <v>18433.782905982909</v>
      </c>
    </row>
    <row r="11" spans="2:24" s="3" customFormat="1" ht="20.100000000000001" customHeight="1">
      <c r="B11" s="33"/>
      <c r="C11" s="4" t="s">
        <v>80</v>
      </c>
      <c r="D11" s="23"/>
      <c r="E11" s="104">
        <f>E10</f>
        <v>921.68914529914537</v>
      </c>
      <c r="F11" s="104">
        <f>IF('Basic Parameters'!$E40-'Profit &amp; Loss'!E10&gt;='Profit &amp; Loss'!$E11,'Profit &amp; Loss'!$E11,IF('Basic Parameters'!$E40-'Profit &amp; Loss'!E10&gt;0,'Basic Parameters'!$E40-'Profit &amp; Loss'!E10,0))</f>
        <v>921.68914529914537</v>
      </c>
      <c r="G11" s="104">
        <f>IF('Basic Parameters'!$E40-'Profit &amp; Loss'!F10&gt;='Profit &amp; Loss'!$E11,'Profit &amp; Loss'!$E11,IF('Basic Parameters'!$E40-'Profit &amp; Loss'!F10&gt;0,'Basic Parameters'!$E40-'Profit &amp; Loss'!F10,0))</f>
        <v>921.68914529914537</v>
      </c>
      <c r="H11" s="104">
        <f>IF('Basic Parameters'!$E40-'Profit &amp; Loss'!G10&gt;='Profit &amp; Loss'!$E11,'Profit &amp; Loss'!$E11,IF('Basic Parameters'!$E40-'Profit &amp; Loss'!G10&gt;0,'Basic Parameters'!$E40-'Profit &amp; Loss'!G10,0))</f>
        <v>921.68914529914537</v>
      </c>
      <c r="I11" s="104">
        <f>IF('Basic Parameters'!$E40-'Profit &amp; Loss'!H10&gt;='Profit &amp; Loss'!$E11,'Profit &amp; Loss'!$E11,IF('Basic Parameters'!$E40-'Profit &amp; Loss'!H10&gt;0,'Basic Parameters'!$E40-'Profit &amp; Loss'!H10,0))</f>
        <v>921.68914529914537</v>
      </c>
      <c r="J11" s="104">
        <f>IF('Basic Parameters'!$E40-'Profit &amp; Loss'!I10&gt;='Profit &amp; Loss'!$E11,'Profit &amp; Loss'!$E11,IF('Basic Parameters'!$E40-'Profit &amp; Loss'!I10&gt;0,'Basic Parameters'!$E40-'Profit &amp; Loss'!I10,0))</f>
        <v>357.55427350427271</v>
      </c>
      <c r="K11" s="104">
        <f>IF('Basic Parameters'!$E40-'Profit &amp; Loss'!J10&gt;='Profit &amp; Loss'!$E11,'Profit &amp; Loss'!$E11,IF('Basic Parameters'!$E40-'Profit &amp; Loss'!J10&gt;0,'Basic Parameters'!$E40-'Profit &amp; Loss'!J10,0))</f>
        <v>0</v>
      </c>
      <c r="L11" s="104">
        <f>IF('Basic Parameters'!$E40-'Profit &amp; Loss'!K10&gt;='Profit &amp; Loss'!$E11,'Profit &amp; Loss'!$E11,IF('Basic Parameters'!$E40-'Profit &amp; Loss'!K10&gt;0,'Basic Parameters'!$E40-'Profit &amp; Loss'!K10,0))</f>
        <v>0</v>
      </c>
      <c r="M11" s="104">
        <f>IF('Basic Parameters'!$E40-'Profit &amp; Loss'!L10&gt;='Profit &amp; Loss'!$E11,'Profit &amp; Loss'!$E11,IF('Basic Parameters'!$E40-'Profit &amp; Loss'!L10&gt;0,'Basic Parameters'!$E40-'Profit &amp; Loss'!L10,0))</f>
        <v>0</v>
      </c>
      <c r="N11" s="104">
        <f>IF('Basic Parameters'!$E40-'Profit &amp; Loss'!M10&gt;='Profit &amp; Loss'!$E11,'Profit &amp; Loss'!$E11,IF('Basic Parameters'!$E40-'Profit &amp; Loss'!M10&gt;0,'Basic Parameters'!$E40-'Profit &amp; Loss'!M10,0))</f>
        <v>0</v>
      </c>
      <c r="O11" s="104">
        <f>IF('Basic Parameters'!$E40-'Profit &amp; Loss'!N10&gt;='Profit &amp; Loss'!$E11,'Profit &amp; Loss'!$E11,IF('Basic Parameters'!$E40-'Profit &amp; Loss'!N10&gt;0,'Basic Parameters'!$E40-'Profit &amp; Loss'!N10,0))</f>
        <v>0</v>
      </c>
      <c r="P11" s="104">
        <f>IF('Basic Parameters'!$E40-'Profit &amp; Loss'!O10&gt;='Profit &amp; Loss'!$E11,'Profit &amp; Loss'!$E11,IF('Basic Parameters'!$E40-'Profit &amp; Loss'!O10&gt;0,'Basic Parameters'!$E40-'Profit &amp; Loss'!O10,0))</f>
        <v>0</v>
      </c>
      <c r="Q11" s="104">
        <f>IF('Basic Parameters'!$E40-'Profit &amp; Loss'!P10&gt;='Profit &amp; Loss'!$E11,'Profit &amp; Loss'!$E11,IF('Basic Parameters'!$E40-'Profit &amp; Loss'!P10&gt;0,'Basic Parameters'!$E40-'Profit &amp; Loss'!P10,0))</f>
        <v>0</v>
      </c>
      <c r="R11" s="104">
        <f>IF('Basic Parameters'!$E40-'Profit &amp; Loss'!Q10&gt;='Profit &amp; Loss'!$E11,'Profit &amp; Loss'!$E11,IF('Basic Parameters'!$E40-'Profit &amp; Loss'!Q10&gt;0,'Basic Parameters'!$E40-'Profit &amp; Loss'!Q10,0))</f>
        <v>0</v>
      </c>
      <c r="S11" s="104">
        <f>IF('Basic Parameters'!$E40-'Profit &amp; Loss'!R10&gt;='Profit &amp; Loss'!$E11,'Profit &amp; Loss'!$E11,IF('Basic Parameters'!$E40-'Profit &amp; Loss'!R10&gt;0,'Basic Parameters'!$E40-'Profit &amp; Loss'!R10,0))</f>
        <v>0</v>
      </c>
      <c r="T11" s="104">
        <f>IF('Basic Parameters'!$E40-'Profit &amp; Loss'!S10&gt;='Profit &amp; Loss'!$E11,'Profit &amp; Loss'!$E11,IF('Basic Parameters'!$E40-'Profit &amp; Loss'!S10&gt;0,'Basic Parameters'!$E40-'Profit &amp; Loss'!S10,0))</f>
        <v>0</v>
      </c>
      <c r="U11" s="104">
        <f>IF('Basic Parameters'!$E40-'Profit &amp; Loss'!T10&gt;='Profit &amp; Loss'!$E11,'Profit &amp; Loss'!$E11,IF('Basic Parameters'!$E40-'Profit &amp; Loss'!T10&gt;0,'Basic Parameters'!$E40-'Profit &amp; Loss'!T10,0))</f>
        <v>0</v>
      </c>
      <c r="V11" s="104">
        <f>IF('Basic Parameters'!$E40-'Profit &amp; Loss'!U10&gt;='Profit &amp; Loss'!$E11,'Profit &amp; Loss'!$E11,IF('Basic Parameters'!$E40-'Profit &amp; Loss'!U10&gt;0,'Basic Parameters'!$E40-'Profit &amp; Loss'!U10,0))</f>
        <v>0</v>
      </c>
      <c r="W11" s="104">
        <f>IF('Basic Parameters'!$E40-'Profit &amp; Loss'!V10&gt;='Profit &amp; Loss'!$E11,'Profit &amp; Loss'!$E11,IF('Basic Parameters'!$E40-'Profit &amp; Loss'!V10&gt;0,'Basic Parameters'!$E40-'Profit &amp; Loss'!V10,0))</f>
        <v>0</v>
      </c>
      <c r="X11" s="104">
        <f>IF('Basic Parameters'!$E40-'Profit &amp; Loss'!W10&gt;='Profit &amp; Loss'!$E11,'Profit &amp; Loss'!$E11,IF('Basic Parameters'!$E40-'Profit &amp; Loss'!W10&gt;0,'Basic Parameters'!$E40-'Profit &amp; Loss'!W10,0))</f>
        <v>0</v>
      </c>
    </row>
    <row r="12" spans="2:24" s="3" customFormat="1" ht="20.100000000000001" customHeight="1">
      <c r="B12" s="33"/>
      <c r="C12" s="4" t="s">
        <v>81</v>
      </c>
      <c r="D12" s="23"/>
      <c r="E12" s="104">
        <f>E9-E11</f>
        <v>0</v>
      </c>
      <c r="F12" s="104">
        <f t="shared" ref="F12:X12" si="4">F9-F11</f>
        <v>0</v>
      </c>
      <c r="G12" s="104">
        <f t="shared" si="4"/>
        <v>0</v>
      </c>
      <c r="H12" s="104">
        <f t="shared" si="4"/>
        <v>0</v>
      </c>
      <c r="I12" s="104">
        <f t="shared" si="4"/>
        <v>0</v>
      </c>
      <c r="J12" s="104">
        <f t="shared" si="4"/>
        <v>564.13487179487265</v>
      </c>
      <c r="K12" s="104">
        <f t="shared" si="4"/>
        <v>921.68914529914537</v>
      </c>
      <c r="L12" s="104">
        <f t="shared" si="4"/>
        <v>921.68914529914537</v>
      </c>
      <c r="M12" s="104">
        <f t="shared" si="4"/>
        <v>921.68914529914537</v>
      </c>
      <c r="N12" s="104">
        <f t="shared" si="4"/>
        <v>921.68914529914537</v>
      </c>
      <c r="O12" s="104">
        <f t="shared" si="4"/>
        <v>921.68914529914537</v>
      </c>
      <c r="P12" s="104">
        <f t="shared" si="4"/>
        <v>921.68914529914537</v>
      </c>
      <c r="Q12" s="104">
        <f t="shared" si="4"/>
        <v>921.68914529914537</v>
      </c>
      <c r="R12" s="104">
        <f t="shared" si="4"/>
        <v>921.68914529914537</v>
      </c>
      <c r="S12" s="104">
        <f t="shared" si="4"/>
        <v>921.68914529914537</v>
      </c>
      <c r="T12" s="104">
        <f t="shared" si="4"/>
        <v>921.68914529914537</v>
      </c>
      <c r="U12" s="104">
        <f t="shared" si="4"/>
        <v>921.68914529914537</v>
      </c>
      <c r="V12" s="104">
        <f t="shared" si="4"/>
        <v>921.68914529914537</v>
      </c>
      <c r="W12" s="104">
        <f t="shared" si="4"/>
        <v>921.68914529914537</v>
      </c>
      <c r="X12" s="104">
        <f t="shared" si="4"/>
        <v>921.68914529914537</v>
      </c>
    </row>
    <row r="13" spans="2:24" s="3" customFormat="1" ht="20.100000000000001" customHeight="1">
      <c r="B13" s="33"/>
      <c r="C13" s="4" t="s">
        <v>82</v>
      </c>
      <c r="D13" s="23"/>
      <c r="E13" s="104">
        <f>E12/2</f>
        <v>0</v>
      </c>
      <c r="F13" s="104">
        <f t="shared" ref="F13:X13" si="5">F12/2</f>
        <v>0</v>
      </c>
      <c r="G13" s="104">
        <f t="shared" si="5"/>
        <v>0</v>
      </c>
      <c r="H13" s="104">
        <f t="shared" si="5"/>
        <v>0</v>
      </c>
      <c r="I13" s="104">
        <f t="shared" si="5"/>
        <v>0</v>
      </c>
      <c r="J13" s="104">
        <f t="shared" si="5"/>
        <v>282.06743589743633</v>
      </c>
      <c r="K13" s="104">
        <f t="shared" si="5"/>
        <v>460.84457264957268</v>
      </c>
      <c r="L13" s="104">
        <f t="shared" si="5"/>
        <v>460.84457264957268</v>
      </c>
      <c r="M13" s="104">
        <f t="shared" si="5"/>
        <v>460.84457264957268</v>
      </c>
      <c r="N13" s="104">
        <f t="shared" si="5"/>
        <v>460.84457264957268</v>
      </c>
      <c r="O13" s="104">
        <f t="shared" si="5"/>
        <v>460.84457264957268</v>
      </c>
      <c r="P13" s="104">
        <f t="shared" si="5"/>
        <v>460.84457264957268</v>
      </c>
      <c r="Q13" s="104">
        <f t="shared" si="5"/>
        <v>460.84457264957268</v>
      </c>
      <c r="R13" s="104">
        <f t="shared" si="5"/>
        <v>460.84457264957268</v>
      </c>
      <c r="S13" s="104">
        <f t="shared" si="5"/>
        <v>460.84457264957268</v>
      </c>
      <c r="T13" s="104">
        <f t="shared" si="5"/>
        <v>460.84457264957268</v>
      </c>
      <c r="U13" s="104">
        <f t="shared" si="5"/>
        <v>460.84457264957268</v>
      </c>
      <c r="V13" s="104">
        <f t="shared" si="5"/>
        <v>460.84457264957268</v>
      </c>
      <c r="W13" s="104">
        <f t="shared" si="5"/>
        <v>460.84457264957268</v>
      </c>
      <c r="X13" s="104">
        <f t="shared" si="5"/>
        <v>460.84457264957268</v>
      </c>
    </row>
    <row r="14" spans="2:24" s="3" customFormat="1" ht="20.100000000000001" customHeight="1">
      <c r="B14" s="33">
        <v>2.2000000000000002</v>
      </c>
      <c r="C14" s="4" t="s">
        <v>83</v>
      </c>
      <c r="D14" s="23"/>
      <c r="E14" s="104">
        <f>E15+E16</f>
        <v>0</v>
      </c>
      <c r="F14" s="104">
        <f t="shared" ref="F14:X14" si="6">F15+F16</f>
        <v>0</v>
      </c>
      <c r="G14" s="104">
        <f t="shared" si="6"/>
        <v>0</v>
      </c>
      <c r="H14" s="104">
        <f t="shared" si="6"/>
        <v>0</v>
      </c>
      <c r="I14" s="104">
        <f t="shared" si="6"/>
        <v>0</v>
      </c>
      <c r="J14" s="104">
        <f t="shared" si="6"/>
        <v>45.130789743589816</v>
      </c>
      <c r="K14" s="104">
        <f t="shared" si="6"/>
        <v>73.735131623931636</v>
      </c>
      <c r="L14" s="104">
        <f t="shared" si="6"/>
        <v>73.735131623931636</v>
      </c>
      <c r="M14" s="104">
        <f t="shared" si="6"/>
        <v>73.735131623931636</v>
      </c>
      <c r="N14" s="104">
        <f t="shared" si="6"/>
        <v>73.735131623931636</v>
      </c>
      <c r="O14" s="104">
        <f t="shared" si="6"/>
        <v>73.735131623931636</v>
      </c>
      <c r="P14" s="104">
        <f t="shared" si="6"/>
        <v>73.735131623931636</v>
      </c>
      <c r="Q14" s="104">
        <f t="shared" si="6"/>
        <v>73.735131623931636</v>
      </c>
      <c r="R14" s="104">
        <f t="shared" si="6"/>
        <v>73.735131623931636</v>
      </c>
      <c r="S14" s="104">
        <f t="shared" si="6"/>
        <v>73.735131623931636</v>
      </c>
      <c r="T14" s="104">
        <f t="shared" si="6"/>
        <v>73.735131623931636</v>
      </c>
      <c r="U14" s="104">
        <f t="shared" si="6"/>
        <v>73.735131623931636</v>
      </c>
      <c r="V14" s="104">
        <f t="shared" si="6"/>
        <v>73.735131623931636</v>
      </c>
      <c r="W14" s="104">
        <f t="shared" si="6"/>
        <v>73.735131623931636</v>
      </c>
      <c r="X14" s="104">
        <f t="shared" si="6"/>
        <v>73.735131623931636</v>
      </c>
    </row>
    <row r="15" spans="2:24" s="3" customFormat="1" ht="20.100000000000001" customHeight="1">
      <c r="B15" s="33"/>
      <c r="C15" s="4" t="s">
        <v>84</v>
      </c>
      <c r="D15" s="23"/>
      <c r="E15" s="108">
        <f>IF(E12&lt;=0,0,E12*'Basic Parameters'!$E42)</f>
        <v>0</v>
      </c>
      <c r="F15" s="108">
        <f>IF(F12&lt;=0,0,F12*'Basic Parameters'!$E42)</f>
        <v>0</v>
      </c>
      <c r="G15" s="108">
        <f>IF(G12&lt;=0,0,G12*'Basic Parameters'!$E42)</f>
        <v>0</v>
      </c>
      <c r="H15" s="108">
        <f>IF(H12&lt;=0,0,H12*'Basic Parameters'!$E42)</f>
        <v>0</v>
      </c>
      <c r="I15" s="108">
        <f>IF(I12&lt;=0,0,I12*'Basic Parameters'!$E42)</f>
        <v>0</v>
      </c>
      <c r="J15" s="108">
        <f>IF(J12&lt;=0,0,J12*'Basic Parameters'!$E42)</f>
        <v>16.924046153846177</v>
      </c>
      <c r="K15" s="108">
        <f>IF(K12&lt;=0,0,K12*'Basic Parameters'!$E42)</f>
        <v>27.65067435897436</v>
      </c>
      <c r="L15" s="108">
        <f>IF(L12&lt;=0,0,L12*'Basic Parameters'!$E42)</f>
        <v>27.65067435897436</v>
      </c>
      <c r="M15" s="108">
        <f>IF(M12&lt;=0,0,M12*'Basic Parameters'!$E42)</f>
        <v>27.65067435897436</v>
      </c>
      <c r="N15" s="108">
        <f>IF(N12&lt;=0,0,N12*'Basic Parameters'!$E42)</f>
        <v>27.65067435897436</v>
      </c>
      <c r="O15" s="108">
        <f>IF(O12&lt;=0,0,O12*'Basic Parameters'!$E42)</f>
        <v>27.65067435897436</v>
      </c>
      <c r="P15" s="108">
        <f>IF(P12&lt;=0,0,P12*'Basic Parameters'!$E42)</f>
        <v>27.65067435897436</v>
      </c>
      <c r="Q15" s="108">
        <f>IF(Q12&lt;=0,0,Q12*'Basic Parameters'!$E42)</f>
        <v>27.65067435897436</v>
      </c>
      <c r="R15" s="108">
        <f>IF(R12&lt;=0,0,R12*'Basic Parameters'!$E42)</f>
        <v>27.65067435897436</v>
      </c>
      <c r="S15" s="108">
        <f>IF(S12&lt;=0,0,S12*'Basic Parameters'!$E42)</f>
        <v>27.65067435897436</v>
      </c>
      <c r="T15" s="108">
        <f>IF(T12&lt;=0,0,T12*'Basic Parameters'!$E42)</f>
        <v>27.65067435897436</v>
      </c>
      <c r="U15" s="108">
        <f>IF(U12&lt;=0,0,U12*'Basic Parameters'!$E42)</f>
        <v>27.65067435897436</v>
      </c>
      <c r="V15" s="108">
        <f>IF(V12&lt;=0,0,V12*'Basic Parameters'!$E42)</f>
        <v>27.65067435897436</v>
      </c>
      <c r="W15" s="108">
        <f>IF(W12&lt;=0,0,W12*'Basic Parameters'!$E42)</f>
        <v>27.65067435897436</v>
      </c>
      <c r="X15" s="108">
        <f>IF(X12&lt;=0,0,X12*'Basic Parameters'!$E42)</f>
        <v>27.65067435897436</v>
      </c>
    </row>
    <row r="16" spans="2:24" s="3" customFormat="1" ht="20.100000000000001" customHeight="1">
      <c r="B16" s="63"/>
      <c r="C16" s="5" t="s">
        <v>85</v>
      </c>
      <c r="D16" s="23"/>
      <c r="E16" s="108">
        <f>IF(E12&lt;=0,0,E12*'Basic Parameters'!$E43)</f>
        <v>0</v>
      </c>
      <c r="F16" s="108">
        <f>IF(F12&lt;=0,0,F12*'Basic Parameters'!$E43)</f>
        <v>0</v>
      </c>
      <c r="G16" s="108">
        <f>IF(G12&lt;=0,0,G12*'Basic Parameters'!$E43)</f>
        <v>0</v>
      </c>
      <c r="H16" s="108">
        <f>IF(H12&lt;=0,0,H12*'Basic Parameters'!$E43)</f>
        <v>0</v>
      </c>
      <c r="I16" s="108">
        <f>IF(I12&lt;=0,0,I12*'Basic Parameters'!$E43)</f>
        <v>0</v>
      </c>
      <c r="J16" s="108">
        <f>IF(J12&lt;=0,0,J12*'Basic Parameters'!$E43)</f>
        <v>28.206743589743635</v>
      </c>
      <c r="K16" s="108">
        <f>IF(K12&lt;=0,0,K12*'Basic Parameters'!$E43)</f>
        <v>46.084457264957273</v>
      </c>
      <c r="L16" s="108">
        <f>IF(L12&lt;=0,0,L12*'Basic Parameters'!$E43)</f>
        <v>46.084457264957273</v>
      </c>
      <c r="M16" s="108">
        <f>IF(M12&lt;=0,0,M12*'Basic Parameters'!$E43)</f>
        <v>46.084457264957273</v>
      </c>
      <c r="N16" s="108">
        <f>IF(N12&lt;=0,0,N12*'Basic Parameters'!$E43)</f>
        <v>46.084457264957273</v>
      </c>
      <c r="O16" s="108">
        <f>IF(O12&lt;=0,0,O12*'Basic Parameters'!$E43)</f>
        <v>46.084457264957273</v>
      </c>
      <c r="P16" s="108">
        <f>IF(P12&lt;=0,0,P12*'Basic Parameters'!$E43)</f>
        <v>46.084457264957273</v>
      </c>
      <c r="Q16" s="108">
        <f>IF(Q12&lt;=0,0,Q12*'Basic Parameters'!$E43)</f>
        <v>46.084457264957273</v>
      </c>
      <c r="R16" s="108">
        <f>IF(R12&lt;=0,0,R12*'Basic Parameters'!$E43)</f>
        <v>46.084457264957273</v>
      </c>
      <c r="S16" s="108">
        <f>IF(S12&lt;=0,0,S12*'Basic Parameters'!$E43)</f>
        <v>46.084457264957273</v>
      </c>
      <c r="T16" s="108">
        <f>IF(T12&lt;=0,0,T12*'Basic Parameters'!$E43)</f>
        <v>46.084457264957273</v>
      </c>
      <c r="U16" s="108">
        <f>IF(U12&lt;=0,0,U12*'Basic Parameters'!$E43)</f>
        <v>46.084457264957273</v>
      </c>
      <c r="V16" s="108">
        <f>IF(V12&lt;=0,0,V12*'Basic Parameters'!$E43)</f>
        <v>46.084457264957273</v>
      </c>
      <c r="W16" s="108">
        <f>IF(W12&lt;=0,0,W12*'Basic Parameters'!$E43)</f>
        <v>46.084457264957273</v>
      </c>
      <c r="X16" s="108">
        <f>IF(X12&lt;=0,0,X12*'Basic Parameters'!$E43)</f>
        <v>46.084457264957273</v>
      </c>
    </row>
    <row r="17" spans="1:24" s="3" customFormat="1" ht="20.100000000000001" customHeight="1">
      <c r="B17" s="63">
        <v>3</v>
      </c>
      <c r="C17" s="5" t="s">
        <v>86</v>
      </c>
      <c r="D17" s="57"/>
      <c r="E17" s="108">
        <f>'Total Cost &amp; Expenses'!E5</f>
        <v>6408.4589333333333</v>
      </c>
      <c r="F17" s="108">
        <f>'Total Cost &amp; Expenses'!F5</f>
        <v>6324.3932061293181</v>
      </c>
      <c r="G17" s="108">
        <f>'Total Cost &amp; Expenses'!G5</f>
        <v>6472.341354643273</v>
      </c>
      <c r="H17" s="108">
        <f>'Total Cost &amp; Expenses'!H5</f>
        <v>6374.2431917963604</v>
      </c>
      <c r="I17" s="108">
        <f>'Total Cost &amp; Expenses'!I5</f>
        <v>6261.0808253320365</v>
      </c>
      <c r="J17" s="108">
        <f>'Total Cost &amp; Expenses'!J5</f>
        <v>6213.1660348593159</v>
      </c>
      <c r="K17" s="108">
        <f>'Total Cost &amp; Expenses'!K5</f>
        <v>6056.8478282961933</v>
      </c>
      <c r="L17" s="108">
        <f>'Total Cost &amp; Expenses'!L5</f>
        <v>5871.9977124797888</v>
      </c>
      <c r="M17" s="108">
        <f>'Total Cost &amp; Expenses'!M5</f>
        <v>5664.6733726626762</v>
      </c>
      <c r="N17" s="108">
        <f>'Total Cost &amp; Expenses'!N5</f>
        <v>5440.890386278501</v>
      </c>
      <c r="O17" s="108">
        <f>'Total Cost &amp; Expenses'!O5</f>
        <v>5563.9821245303365</v>
      </c>
      <c r="P17" s="108">
        <f>'Total Cost &amp; Expenses'!P5</f>
        <v>5311.8749345108372</v>
      </c>
      <c r="Q17" s="108">
        <f>'Total Cost &amp; Expenses'!Q5</f>
        <v>5040.8702656438036</v>
      </c>
      <c r="R17" s="108">
        <f>'Total Cost &amp; Expenses'!R5</f>
        <v>5008.8471663893552</v>
      </c>
      <c r="S17" s="108">
        <f>'Total Cost &amp; Expenses'!S5</f>
        <v>4975.488703895996</v>
      </c>
      <c r="T17" s="108">
        <f>'Total Cost &amp; Expenses'!T5</f>
        <v>2169.6132601833319</v>
      </c>
      <c r="U17" s="108">
        <f>'Total Cost &amp; Expenses'!U5</f>
        <v>2017.8587438011821</v>
      </c>
      <c r="V17" s="108">
        <f>'Total Cost &amp; Expenses'!V5</f>
        <v>1961.9266</v>
      </c>
      <c r="W17" s="108">
        <f>'Total Cost &amp; Expenses'!W5</f>
        <v>1961.9266</v>
      </c>
      <c r="X17" s="109">
        <f>'Total Cost &amp; Expenses'!X5</f>
        <v>1961.9266</v>
      </c>
    </row>
    <row r="18" spans="1:24" s="3" customFormat="1" ht="20.100000000000001" customHeight="1">
      <c r="B18" s="63">
        <v>4</v>
      </c>
      <c r="C18" s="5" t="s">
        <v>87</v>
      </c>
      <c r="D18" s="57"/>
      <c r="E18" s="108">
        <f>E5+E13-E14-E17</f>
        <v>-986.75807863247883</v>
      </c>
      <c r="F18" s="108">
        <f t="shared" ref="F18:X18" si="7">F5+F13-F14-F17</f>
        <v>-902.69235142846355</v>
      </c>
      <c r="G18" s="108">
        <f t="shared" si="7"/>
        <v>-1050.6404999424185</v>
      </c>
      <c r="H18" s="108">
        <f t="shared" si="7"/>
        <v>-952.5423370955059</v>
      </c>
      <c r="I18" s="108">
        <f t="shared" si="7"/>
        <v>-839.379970631182</v>
      </c>
      <c r="J18" s="108">
        <f t="shared" si="7"/>
        <v>-554.52853400461481</v>
      </c>
      <c r="K18" s="108">
        <f t="shared" si="7"/>
        <v>-248.03753256969776</v>
      </c>
      <c r="L18" s="108">
        <f t="shared" si="7"/>
        <v>-63.187416753293292</v>
      </c>
      <c r="M18" s="108">
        <f t="shared" si="7"/>
        <v>144.13692306381927</v>
      </c>
      <c r="N18" s="108">
        <f t="shared" si="7"/>
        <v>367.91990944799454</v>
      </c>
      <c r="O18" s="108">
        <f t="shared" si="7"/>
        <v>244.82817119615902</v>
      </c>
      <c r="P18" s="108">
        <f t="shared" si="7"/>
        <v>496.9353612156583</v>
      </c>
      <c r="Q18" s="108">
        <f t="shared" si="7"/>
        <v>767.94003008269192</v>
      </c>
      <c r="R18" s="108">
        <f t="shared" si="7"/>
        <v>799.96312933714034</v>
      </c>
      <c r="S18" s="108">
        <f t="shared" si="7"/>
        <v>833.32159183049953</v>
      </c>
      <c r="T18" s="108">
        <f t="shared" si="7"/>
        <v>3639.1970355431636</v>
      </c>
      <c r="U18" s="108">
        <f t="shared" si="7"/>
        <v>3790.9515519253137</v>
      </c>
      <c r="V18" s="108">
        <f t="shared" si="7"/>
        <v>3846.8836957264957</v>
      </c>
      <c r="W18" s="108">
        <f t="shared" si="7"/>
        <v>3846.8836957264957</v>
      </c>
      <c r="X18" s="108">
        <f t="shared" si="7"/>
        <v>3846.8836957264957</v>
      </c>
    </row>
    <row r="19" spans="1:24" s="3" customFormat="1" ht="20.100000000000001" customHeight="1">
      <c r="A19" s="58" t="s">
        <v>88</v>
      </c>
      <c r="B19" s="64" t="s">
        <v>88</v>
      </c>
      <c r="C19" s="5" t="s">
        <v>89</v>
      </c>
      <c r="D19" s="59" t="s">
        <v>88</v>
      </c>
      <c r="E19" s="110" t="s">
        <v>88</v>
      </c>
      <c r="F19" s="110" t="s">
        <v>88</v>
      </c>
      <c r="G19" s="110" t="s">
        <v>88</v>
      </c>
      <c r="H19" s="110" t="s">
        <v>88</v>
      </c>
      <c r="I19" s="110" t="s">
        <v>88</v>
      </c>
      <c r="J19" s="111">
        <f>IF(I$18&gt;0,IF(SUM(I$18:I19)&gt;0,MIN(SUM(I$18:I20),0),I20),I20)</f>
        <v>-986.75807863247883</v>
      </c>
      <c r="K19" s="111">
        <f>IF(J$18&gt;0,IF(SUM(J$18:J19)&gt;0,MIN(SUM(J$18:J20),0),J20),J20)</f>
        <v>-902.69235142846355</v>
      </c>
      <c r="L19" s="111">
        <f>IF(K$18&gt;0,IF(SUM(K$18:K19)&gt;0,MIN(SUM(K$18:K20),0),K20),K20)</f>
        <v>-1050.6404999424185</v>
      </c>
      <c r="M19" s="111">
        <f>IF(L$18&gt;0,IF(SUM(L$18:L19)&gt;0,MIN(SUM(L$18:L20),0),L20),L20)</f>
        <v>-952.5423370955059</v>
      </c>
      <c r="N19" s="111">
        <f>IF(M$18&gt;0,IF(SUM(M$18:M19)&gt;0,MIN(SUM(M$18:M20),0),M20),M20)</f>
        <v>-839.379970631182</v>
      </c>
      <c r="O19" s="111">
        <f>IF(N$18&gt;0,IF(SUM(N$18:N19)&gt;0,MIN(SUM(N$18:N20),0),N20),N20)</f>
        <v>-554.52853400461481</v>
      </c>
      <c r="P19" s="111">
        <f>IF(O$18&gt;0,IF(SUM(O$18:O19)&gt;0,MIN(SUM(O$18:O20),0),O20),O20)</f>
        <v>-248.03753256969776</v>
      </c>
      <c r="Q19" s="111">
        <f>IF(P$18&gt;0,IF(SUM(P$18:P19)&gt;0,MIN(SUM(P$18:P20),0),P20),P20)</f>
        <v>0</v>
      </c>
      <c r="R19" s="111">
        <f>IF(Q$18&gt;0,IF(SUM(Q$18:Q19)&gt;0,MIN(SUM(Q$18:Q20),0),Q20),Q20)</f>
        <v>0</v>
      </c>
      <c r="S19" s="111">
        <f>IF(R$18&gt;0,IF(SUM(R$18:R19)&gt;0,MIN(SUM(R$18:R20),0),R20),R20)</f>
        <v>0</v>
      </c>
      <c r="T19" s="111">
        <f>IF(S$18&gt;0,IF(SUM(S$18:S19)&gt;0,MIN(SUM(S$18:S20),0),S20),S20)</f>
        <v>0</v>
      </c>
      <c r="U19" s="110">
        <f>IF(T$18&gt;0,IF(SUM(T$18:T19)&gt;0,MIN(SUM(T$18:T20),0),T20),T20)</f>
        <v>0</v>
      </c>
      <c r="V19" s="110">
        <f>IF(U$18&gt;0,IF(SUM(U$18:U19)&gt;0,MIN(SUM(U$18:U20),0),U20),U20)</f>
        <v>0</v>
      </c>
      <c r="W19" s="110">
        <f>IF(V$18&gt;0,IF(SUM(V$18:V19)&gt;0,MIN(SUM(V$18:V20),0),V20),V20)</f>
        <v>0</v>
      </c>
      <c r="X19" s="110">
        <f>IF(W$18&gt;0,IF(SUM(W$18:W19)&gt;0,MIN(SUM(W$18:W20),0),W20),W20)</f>
        <v>0</v>
      </c>
    </row>
    <row r="20" spans="1:24" s="3" customFormat="1" ht="20.100000000000001" customHeight="1">
      <c r="A20" s="58" t="s">
        <v>88</v>
      </c>
      <c r="B20" s="64" t="s">
        <v>88</v>
      </c>
      <c r="C20" s="5" t="s">
        <v>90</v>
      </c>
      <c r="D20" s="59" t="s">
        <v>88</v>
      </c>
      <c r="E20" s="110" t="s">
        <v>88</v>
      </c>
      <c r="F20" s="110" t="s">
        <v>88</v>
      </c>
      <c r="G20" s="110" t="s">
        <v>88</v>
      </c>
      <c r="H20" s="110" t="s">
        <v>88</v>
      </c>
      <c r="I20" s="111">
        <f>IF(H$18&gt;0,IF(SUM(H$18:H20)&gt;0,MIN(SUM(H$18:H21),0),H21),H21)</f>
        <v>-986.75807863247883</v>
      </c>
      <c r="J20" s="111">
        <f>IF(I$18&gt;0,IF(SUM(I$18:I20)&gt;0,MIN(SUM(I$18:I21),0),I21),I21)</f>
        <v>-902.69235142846355</v>
      </c>
      <c r="K20" s="111">
        <f>IF(J$18&gt;0,IF(SUM(J$18:J20)&gt;0,MIN(SUM(J$18:J21),0),J21),J21)</f>
        <v>-1050.6404999424185</v>
      </c>
      <c r="L20" s="111">
        <f>IF(K$18&gt;0,IF(SUM(K$18:K20)&gt;0,MIN(SUM(K$18:K21),0),K21),K21)</f>
        <v>-952.5423370955059</v>
      </c>
      <c r="M20" s="111">
        <f>IF(L$18&gt;0,IF(SUM(L$18:L20)&gt;0,MIN(SUM(L$18:L21),0),L21),L21)</f>
        <v>-839.379970631182</v>
      </c>
      <c r="N20" s="111">
        <f>IF(M$18&gt;0,IF(SUM(M$18:M20)&gt;0,MIN(SUM(M$18:M21),0),M21),M21)</f>
        <v>-554.52853400461481</v>
      </c>
      <c r="O20" s="111">
        <f>IF(N$18&gt;0,IF(SUM(N$18:N20)&gt;0,MIN(SUM(N$18:N21),0),N21),N21)</f>
        <v>-248.03753256969776</v>
      </c>
      <c r="P20" s="111">
        <f>IF(O$18&gt;0,IF(SUM(O$18:O20)&gt;0,MIN(SUM(O$18:O21),0),O21),O21)</f>
        <v>-63.187416753293292</v>
      </c>
      <c r="Q20" s="111">
        <f>IF(P$18&gt;0,IF(SUM(P$18:P20)&gt;0,MIN(SUM(P$18:P21),0),P21),P21)</f>
        <v>0</v>
      </c>
      <c r="R20" s="111">
        <f>IF(Q$18&gt;0,IF(SUM(Q$18:Q20)&gt;0,MIN(SUM(Q$18:Q21),0),Q21),Q21)</f>
        <v>0</v>
      </c>
      <c r="S20" s="111">
        <f>IF(R$18&gt;0,IF(SUM(R$18:R20)&gt;0,MIN(SUM(R$18:R21),0),R21),R21)</f>
        <v>0</v>
      </c>
      <c r="T20" s="111">
        <f>IF(S$18&gt;0,IF(SUM(S$18:S20)&gt;0,MIN(SUM(S$18:S21),0),S21),S21)</f>
        <v>0</v>
      </c>
      <c r="U20" s="110">
        <f>IF(T$18&gt;0,IF(SUM(T$18:T20)&gt;0,MIN(SUM(T$18:T21),0),T21),T21)</f>
        <v>0</v>
      </c>
      <c r="V20" s="110">
        <f>IF(U$18&gt;0,IF(SUM(U$18:U20)&gt;0,MIN(SUM(U$18:U21),0),U21),U21)</f>
        <v>0</v>
      </c>
      <c r="W20" s="110">
        <f>IF(V$18&gt;0,IF(SUM(V$18:V20)&gt;0,MIN(SUM(V$18:V21),0),V21),V21)</f>
        <v>0</v>
      </c>
      <c r="X20" s="110">
        <f>IF(W$18&gt;0,IF(SUM(W$18:W20)&gt;0,MIN(SUM(W$18:W21),0),W21),W21)</f>
        <v>0</v>
      </c>
    </row>
    <row r="21" spans="1:24" s="3" customFormat="1" ht="20.100000000000001" customHeight="1">
      <c r="A21" s="58" t="s">
        <v>88</v>
      </c>
      <c r="B21" s="64" t="s">
        <v>88</v>
      </c>
      <c r="C21" s="5" t="s">
        <v>91</v>
      </c>
      <c r="D21" s="59" t="s">
        <v>88</v>
      </c>
      <c r="E21" s="110" t="s">
        <v>88</v>
      </c>
      <c r="F21" s="110" t="s">
        <v>88</v>
      </c>
      <c r="G21" s="110" t="s">
        <v>88</v>
      </c>
      <c r="H21" s="111">
        <f>IF(G$18&gt;0,IF(SUM(G$18:G21)&gt;0,MIN(SUM(G$18:G22),0),G22),G22)</f>
        <v>-986.75807863247883</v>
      </c>
      <c r="I21" s="111">
        <f>IF(H$18&gt;0,IF(SUM(H$18:H21)&gt;0,MIN(SUM(H$18:H22),0),H22),H22)</f>
        <v>-902.69235142846355</v>
      </c>
      <c r="J21" s="111">
        <f>IF(I$18&gt;0,IF(SUM(I$18:I21)&gt;0,MIN(SUM(I$18:I22),0),I22),I22)</f>
        <v>-1050.6404999424185</v>
      </c>
      <c r="K21" s="111">
        <f>IF(J$18&gt;0,IF(SUM(J$18:J21)&gt;0,MIN(SUM(J$18:J22),0),J22),J22)</f>
        <v>-952.5423370955059</v>
      </c>
      <c r="L21" s="111">
        <f>IF(K$18&gt;0,IF(SUM(K$18:K21)&gt;0,MIN(SUM(K$18:K22),0),K22),K22)</f>
        <v>-839.379970631182</v>
      </c>
      <c r="M21" s="111">
        <f>IF(L$18&gt;0,IF(SUM(L$18:L21)&gt;0,MIN(SUM(L$18:L22),0),L22),L22)</f>
        <v>-554.52853400461481</v>
      </c>
      <c r="N21" s="111">
        <f>IF(M$18&gt;0,IF(SUM(M$18:M21)&gt;0,MIN(SUM(M$18:M22),0),M22),M22)</f>
        <v>-248.03753256969776</v>
      </c>
      <c r="O21" s="111">
        <f>IF(N$18&gt;0,IF(SUM(N$18:N21)&gt;0,MIN(SUM(N$18:N22),0),N22),N22)</f>
        <v>-63.187416753293292</v>
      </c>
      <c r="P21" s="111">
        <f>IF(O$18&gt;0,IF(SUM(O$18:O21)&gt;0,MIN(SUM(O$18:O22),0),O22),O22)</f>
        <v>0</v>
      </c>
      <c r="Q21" s="111">
        <f>IF(P$18&gt;0,IF(SUM(P$18:P21)&gt;0,MIN(SUM(P$18:P22),0),P22),P22)</f>
        <v>0</v>
      </c>
      <c r="R21" s="111">
        <f>IF(Q$18&gt;0,IF(SUM(Q$18:Q21)&gt;0,MIN(SUM(Q$18:Q22),0),Q22),Q22)</f>
        <v>0</v>
      </c>
      <c r="S21" s="111">
        <f>IF(R$18&gt;0,IF(SUM(R$18:R21)&gt;0,MIN(SUM(R$18:R22),0),R22),R22)</f>
        <v>0</v>
      </c>
      <c r="T21" s="111">
        <f>IF(S$18&gt;0,IF(SUM(S$18:S21)&gt;0,MIN(SUM(S$18:S22),0),S22),S22)</f>
        <v>0</v>
      </c>
      <c r="U21" s="110">
        <f>IF(T$18&gt;0,IF(SUM(T$18:T21)&gt;0,MIN(SUM(T$18:T22),0),T22),T22)</f>
        <v>0</v>
      </c>
      <c r="V21" s="110">
        <f>IF(U$18&gt;0,IF(SUM(U$18:U21)&gt;0,MIN(SUM(U$18:U22),0),U22),U22)</f>
        <v>0</v>
      </c>
      <c r="W21" s="110">
        <f>IF(V$18&gt;0,IF(SUM(V$18:V21)&gt;0,MIN(SUM(V$18:V22),0),V22),V22)</f>
        <v>0</v>
      </c>
      <c r="X21" s="110">
        <f>IF(W$18&gt;0,IF(SUM(W$18:W21)&gt;0,MIN(SUM(W$18:W22),0),W22),W22)</f>
        <v>0</v>
      </c>
    </row>
    <row r="22" spans="1:24" s="3" customFormat="1" ht="20.100000000000001" customHeight="1">
      <c r="A22" s="58" t="s">
        <v>88</v>
      </c>
      <c r="B22" s="64" t="s">
        <v>88</v>
      </c>
      <c r="C22" s="5" t="s">
        <v>92</v>
      </c>
      <c r="D22" s="59" t="s">
        <v>88</v>
      </c>
      <c r="E22" s="110" t="s">
        <v>88</v>
      </c>
      <c r="F22" s="110" t="s">
        <v>88</v>
      </c>
      <c r="G22" s="111">
        <f>IF(F$18&gt;0,IF(SUM(F$18:F22)&gt;0,MIN(SUM(F$18:F23),0),F23),F23)</f>
        <v>-986.75807863247883</v>
      </c>
      <c r="H22" s="111">
        <f>IF(G$18&gt;0,IF(SUM(G$18:G22)&gt;0,MIN(SUM(G$18:G23),0),G23),G23)</f>
        <v>-902.69235142846355</v>
      </c>
      <c r="I22" s="111">
        <f>IF(H$18&gt;0,IF(SUM(H$18:H22)&gt;0,MIN(SUM(H$18:H23),0),H23),H23)</f>
        <v>-1050.6404999424185</v>
      </c>
      <c r="J22" s="111">
        <f>IF(I$18&gt;0,IF(SUM(I$18:I22)&gt;0,MIN(SUM(I$18:I23),0),I23),I23)</f>
        <v>-952.5423370955059</v>
      </c>
      <c r="K22" s="111">
        <f>IF(J$18&gt;0,IF(SUM(J$18:J22)&gt;0,MIN(SUM(J$18:J23),0),J23),J23)</f>
        <v>-839.379970631182</v>
      </c>
      <c r="L22" s="111">
        <f>IF(K$18&gt;0,IF(SUM(K$18:K22)&gt;0,MIN(SUM(K$18:K23),0),K23),K23)</f>
        <v>-554.52853400461481</v>
      </c>
      <c r="M22" s="111">
        <f>IF(L$18&gt;0,IF(SUM(L$18:L22)&gt;0,MIN(SUM(L$18:L23),0),L23),L23)</f>
        <v>-248.03753256969776</v>
      </c>
      <c r="N22" s="111">
        <f>IF(M$18&gt;0,IF(SUM(M$18:M22)&gt;0,MIN(SUM(M$18:M23),0),M23),M23)</f>
        <v>-63.187416753293292</v>
      </c>
      <c r="O22" s="111">
        <f>IF(N$18&gt;0,IF(SUM(N$18:N22)&gt;0,MIN(SUM(N$18:N23),0),N23),N23)</f>
        <v>0</v>
      </c>
      <c r="P22" s="111">
        <f>IF(O$18&gt;0,IF(SUM(O$18:O22)&gt;0,MIN(SUM(O$18:O23),0),O23),O23)</f>
        <v>0</v>
      </c>
      <c r="Q22" s="111">
        <f>IF(P$18&gt;0,IF(SUM(P$18:P22)&gt;0,MIN(SUM(P$18:P23),0),P23),P23)</f>
        <v>0</v>
      </c>
      <c r="R22" s="111">
        <f>IF(Q$18&gt;0,IF(SUM(Q$18:Q22)&gt;0,MIN(SUM(Q$18:Q23),0),Q23),Q23)</f>
        <v>0</v>
      </c>
      <c r="S22" s="111">
        <f>IF(R$18&gt;0,IF(SUM(R$18:R22)&gt;0,MIN(SUM(R$18:R23),0),R23),R23)</f>
        <v>0</v>
      </c>
      <c r="T22" s="111">
        <f>IF(S$18&gt;0,IF(SUM(S$18:S22)&gt;0,MIN(SUM(S$18:S23),0),S23),S23)</f>
        <v>0</v>
      </c>
      <c r="U22" s="110">
        <f>IF(T$18&gt;0,IF(SUM(T$18:T22)&gt;0,MIN(SUM(T$18:T23),0),T23),T23)</f>
        <v>0</v>
      </c>
      <c r="V22" s="110">
        <f>IF(U$18&gt;0,IF(SUM(U$18:U22)&gt;0,MIN(SUM(U$18:U23),0),U23),U23)</f>
        <v>0</v>
      </c>
      <c r="W22" s="110">
        <f>IF(V$18&gt;0,IF(SUM(V$18:V22)&gt;0,MIN(SUM(V$18:V23),0),V23),V23)</f>
        <v>0</v>
      </c>
      <c r="X22" s="110">
        <f>IF(W$18&gt;0,IF(SUM(W$18:W22)&gt;0,MIN(SUM(W$18:W23),0),W23),W23)</f>
        <v>0</v>
      </c>
    </row>
    <row r="23" spans="1:24" s="3" customFormat="1" ht="20.100000000000001" customHeight="1">
      <c r="A23" s="58" t="s">
        <v>88</v>
      </c>
      <c r="B23" s="64" t="s">
        <v>88</v>
      </c>
      <c r="C23" s="5" t="s">
        <v>93</v>
      </c>
      <c r="D23" s="59" t="s">
        <v>88</v>
      </c>
      <c r="E23" s="110" t="s">
        <v>88</v>
      </c>
      <c r="F23" s="111">
        <f>MIN(E18,0)</f>
        <v>-986.75807863247883</v>
      </c>
      <c r="G23" s="111">
        <f t="shared" ref="G23:X23" si="8">MIN(F18,0)</f>
        <v>-902.69235142846355</v>
      </c>
      <c r="H23" s="111">
        <f t="shared" si="8"/>
        <v>-1050.6404999424185</v>
      </c>
      <c r="I23" s="111">
        <f t="shared" si="8"/>
        <v>-952.5423370955059</v>
      </c>
      <c r="J23" s="111">
        <f t="shared" si="8"/>
        <v>-839.379970631182</v>
      </c>
      <c r="K23" s="111">
        <f t="shared" si="8"/>
        <v>-554.52853400461481</v>
      </c>
      <c r="L23" s="111">
        <f t="shared" si="8"/>
        <v>-248.03753256969776</v>
      </c>
      <c r="M23" s="111">
        <f t="shared" si="8"/>
        <v>-63.187416753293292</v>
      </c>
      <c r="N23" s="111">
        <f t="shared" si="8"/>
        <v>0</v>
      </c>
      <c r="O23" s="111">
        <f t="shared" si="8"/>
        <v>0</v>
      </c>
      <c r="P23" s="111">
        <f t="shared" si="8"/>
        <v>0</v>
      </c>
      <c r="Q23" s="111">
        <f t="shared" si="8"/>
        <v>0</v>
      </c>
      <c r="R23" s="111">
        <f t="shared" si="8"/>
        <v>0</v>
      </c>
      <c r="S23" s="111">
        <f t="shared" si="8"/>
        <v>0</v>
      </c>
      <c r="T23" s="111">
        <f t="shared" si="8"/>
        <v>0</v>
      </c>
      <c r="U23" s="110">
        <f t="shared" si="8"/>
        <v>0</v>
      </c>
      <c r="V23" s="110">
        <f t="shared" si="8"/>
        <v>0</v>
      </c>
      <c r="W23" s="110">
        <f t="shared" si="8"/>
        <v>0</v>
      </c>
      <c r="X23" s="110">
        <f t="shared" si="8"/>
        <v>0</v>
      </c>
    </row>
    <row r="24" spans="1:24" s="3" customFormat="1" ht="20.100000000000001" customHeight="1">
      <c r="A24" s="58" t="s">
        <v>88</v>
      </c>
      <c r="B24" s="64" t="s">
        <v>88</v>
      </c>
      <c r="C24" s="5" t="s">
        <v>94</v>
      </c>
      <c r="D24" s="59" t="s">
        <v>88</v>
      </c>
      <c r="E24" s="110">
        <f>SUM(E19:E23)</f>
        <v>0</v>
      </c>
      <c r="F24" s="110">
        <f t="shared" ref="F24:X24" si="9">SUM(F19:F23)</f>
        <v>-986.75807863247883</v>
      </c>
      <c r="G24" s="110">
        <f t="shared" si="9"/>
        <v>-1889.4504300609424</v>
      </c>
      <c r="H24" s="110">
        <f t="shared" si="9"/>
        <v>-2940.0909300033609</v>
      </c>
      <c r="I24" s="110">
        <f t="shared" si="9"/>
        <v>-3892.6332670988668</v>
      </c>
      <c r="J24" s="110">
        <f t="shared" si="9"/>
        <v>-4732.0132377300488</v>
      </c>
      <c r="K24" s="110">
        <f t="shared" si="9"/>
        <v>-4299.7836931021848</v>
      </c>
      <c r="L24" s="110">
        <f t="shared" si="9"/>
        <v>-3645.128874243419</v>
      </c>
      <c r="M24" s="110">
        <f t="shared" si="9"/>
        <v>-2657.6757910542938</v>
      </c>
      <c r="N24" s="110">
        <f t="shared" si="9"/>
        <v>-1705.1334539587879</v>
      </c>
      <c r="O24" s="110">
        <f t="shared" si="9"/>
        <v>-865.75348332760586</v>
      </c>
      <c r="P24" s="110">
        <f t="shared" si="9"/>
        <v>-311.22494932299105</v>
      </c>
      <c r="Q24" s="110">
        <f t="shared" si="9"/>
        <v>0</v>
      </c>
      <c r="R24" s="110">
        <f t="shared" si="9"/>
        <v>0</v>
      </c>
      <c r="S24" s="110">
        <f t="shared" si="9"/>
        <v>0</v>
      </c>
      <c r="T24" s="110">
        <f t="shared" si="9"/>
        <v>0</v>
      </c>
      <c r="U24" s="110">
        <f t="shared" si="9"/>
        <v>0</v>
      </c>
      <c r="V24" s="110">
        <f t="shared" si="9"/>
        <v>0</v>
      </c>
      <c r="W24" s="110">
        <f t="shared" si="9"/>
        <v>0</v>
      </c>
      <c r="X24" s="110">
        <f t="shared" si="9"/>
        <v>0</v>
      </c>
    </row>
    <row r="25" spans="1:24" s="3" customFormat="1" ht="20.100000000000001" customHeight="1">
      <c r="A25" s="62"/>
      <c r="B25" s="65"/>
      <c r="C25" s="5" t="s">
        <v>95</v>
      </c>
      <c r="D25" s="59"/>
      <c r="E25" s="110">
        <f>MIN(MAX(E18,0),-SUM(E19:E23))</f>
        <v>0</v>
      </c>
      <c r="F25" s="110">
        <f t="shared" ref="F25:X25" si="10">MIN(MAX(F18,0),-SUM(F19:F23))</f>
        <v>0</v>
      </c>
      <c r="G25" s="110">
        <f t="shared" si="10"/>
        <v>0</v>
      </c>
      <c r="H25" s="110">
        <f t="shared" si="10"/>
        <v>0</v>
      </c>
      <c r="I25" s="110">
        <f t="shared" si="10"/>
        <v>0</v>
      </c>
      <c r="J25" s="110">
        <f t="shared" si="10"/>
        <v>0</v>
      </c>
      <c r="K25" s="110">
        <f t="shared" si="10"/>
        <v>0</v>
      </c>
      <c r="L25" s="110">
        <f t="shared" si="10"/>
        <v>0</v>
      </c>
      <c r="M25" s="110">
        <f t="shared" si="10"/>
        <v>144.13692306381927</v>
      </c>
      <c r="N25" s="110">
        <f t="shared" si="10"/>
        <v>367.91990944799454</v>
      </c>
      <c r="O25" s="110">
        <f t="shared" si="10"/>
        <v>244.82817119615902</v>
      </c>
      <c r="P25" s="110">
        <f t="shared" si="10"/>
        <v>311.22494932299105</v>
      </c>
      <c r="Q25" s="110">
        <f t="shared" si="10"/>
        <v>0</v>
      </c>
      <c r="R25" s="110">
        <f t="shared" si="10"/>
        <v>0</v>
      </c>
      <c r="S25" s="110">
        <f t="shared" si="10"/>
        <v>0</v>
      </c>
      <c r="T25" s="110">
        <f t="shared" si="10"/>
        <v>0</v>
      </c>
      <c r="U25" s="110">
        <f t="shared" si="10"/>
        <v>0</v>
      </c>
      <c r="V25" s="110">
        <f t="shared" si="10"/>
        <v>0</v>
      </c>
      <c r="W25" s="110">
        <f t="shared" si="10"/>
        <v>0</v>
      </c>
      <c r="X25" s="110">
        <f t="shared" si="10"/>
        <v>0</v>
      </c>
    </row>
    <row r="26" spans="1:24" s="3" customFormat="1" ht="20.100000000000001" customHeight="1">
      <c r="A26" s="58"/>
      <c r="B26" s="65"/>
      <c r="C26" s="5" t="s">
        <v>96</v>
      </c>
      <c r="D26" s="59"/>
      <c r="E26" s="110">
        <f>E18-E25</f>
        <v>-986.75807863247883</v>
      </c>
      <c r="F26" s="110">
        <f t="shared" ref="F26:X26" si="11">F18-F25</f>
        <v>-902.69235142846355</v>
      </c>
      <c r="G26" s="110">
        <f t="shared" si="11"/>
        <v>-1050.6404999424185</v>
      </c>
      <c r="H26" s="110">
        <f t="shared" si="11"/>
        <v>-952.5423370955059</v>
      </c>
      <c r="I26" s="110">
        <f t="shared" si="11"/>
        <v>-839.379970631182</v>
      </c>
      <c r="J26" s="110">
        <f t="shared" si="11"/>
        <v>-554.52853400461481</v>
      </c>
      <c r="K26" s="110">
        <f t="shared" si="11"/>
        <v>-248.03753256969776</v>
      </c>
      <c r="L26" s="110">
        <f t="shared" si="11"/>
        <v>-63.187416753293292</v>
      </c>
      <c r="M26" s="110">
        <f t="shared" si="11"/>
        <v>0</v>
      </c>
      <c r="N26" s="110">
        <f t="shared" si="11"/>
        <v>0</v>
      </c>
      <c r="O26" s="110">
        <f t="shared" si="11"/>
        <v>0</v>
      </c>
      <c r="P26" s="110">
        <f t="shared" si="11"/>
        <v>185.71041189266725</v>
      </c>
      <c r="Q26" s="110">
        <f t="shared" si="11"/>
        <v>767.94003008269192</v>
      </c>
      <c r="R26" s="110">
        <f t="shared" si="11"/>
        <v>799.96312933714034</v>
      </c>
      <c r="S26" s="110">
        <f t="shared" si="11"/>
        <v>833.32159183049953</v>
      </c>
      <c r="T26" s="110">
        <f t="shared" si="11"/>
        <v>3639.1970355431636</v>
      </c>
      <c r="U26" s="110">
        <f t="shared" si="11"/>
        <v>3790.9515519253137</v>
      </c>
      <c r="V26" s="110">
        <f t="shared" si="11"/>
        <v>3846.8836957264957</v>
      </c>
      <c r="W26" s="110">
        <f t="shared" si="11"/>
        <v>3846.8836957264957</v>
      </c>
      <c r="X26" s="110">
        <f t="shared" si="11"/>
        <v>3846.8836957264957</v>
      </c>
    </row>
    <row r="27" spans="1:24" s="3" customFormat="1" ht="20.100000000000001" customHeight="1">
      <c r="B27" s="63">
        <v>5</v>
      </c>
      <c r="C27" s="5" t="s">
        <v>97</v>
      </c>
      <c r="D27" s="23"/>
      <c r="E27" s="104">
        <f>IF(E26&lt;=0,0,E18*0.25)</f>
        <v>0</v>
      </c>
      <c r="F27" s="104">
        <f t="shared" ref="F27:S27" si="12">IF(F26&lt;=0,0,F18*0.25)</f>
        <v>0</v>
      </c>
      <c r="G27" s="104">
        <f t="shared" si="12"/>
        <v>0</v>
      </c>
      <c r="H27" s="104">
        <f t="shared" si="12"/>
        <v>0</v>
      </c>
      <c r="I27" s="104">
        <f t="shared" si="12"/>
        <v>0</v>
      </c>
      <c r="J27" s="104">
        <f t="shared" si="12"/>
        <v>0</v>
      </c>
      <c r="K27" s="104">
        <f t="shared" si="12"/>
        <v>0</v>
      </c>
      <c r="L27" s="104">
        <f t="shared" si="12"/>
        <v>0</v>
      </c>
      <c r="M27" s="104">
        <f t="shared" si="12"/>
        <v>0</v>
      </c>
      <c r="N27" s="104">
        <f t="shared" si="12"/>
        <v>0</v>
      </c>
      <c r="O27" s="104">
        <f t="shared" si="12"/>
        <v>0</v>
      </c>
      <c r="P27" s="104">
        <f t="shared" si="12"/>
        <v>124.23384030391458</v>
      </c>
      <c r="Q27" s="104">
        <f t="shared" si="12"/>
        <v>191.98500752067298</v>
      </c>
      <c r="R27" s="104">
        <f t="shared" si="12"/>
        <v>199.99078233428509</v>
      </c>
      <c r="S27" s="104">
        <f t="shared" si="12"/>
        <v>208.33039795762488</v>
      </c>
      <c r="T27" s="104">
        <f>IF(T26&lt;=0,0,T26*0.25)</f>
        <v>909.79925888579089</v>
      </c>
      <c r="U27" s="104">
        <f>IF(U26&lt;=0,0,U26*0.25)</f>
        <v>947.73788798132841</v>
      </c>
      <c r="V27" s="104">
        <f>IF(V26&lt;=0,0,V26*0.25)</f>
        <v>961.72092393162393</v>
      </c>
      <c r="W27" s="104">
        <f>IF(W26&lt;=0,0,W26*0.25)</f>
        <v>961.72092393162393</v>
      </c>
      <c r="X27" s="104">
        <f>IF(X26&lt;=0,0,X26*0.25)</f>
        <v>961.72092393162393</v>
      </c>
    </row>
    <row r="28" spans="1:24" s="3" customFormat="1" ht="20.100000000000001" customHeight="1">
      <c r="B28" s="63">
        <v>6</v>
      </c>
      <c r="C28" s="5" t="s">
        <v>98</v>
      </c>
      <c r="D28" s="23"/>
      <c r="E28" s="104">
        <f>E26-E27</f>
        <v>-986.75807863247883</v>
      </c>
      <c r="F28" s="104">
        <f t="shared" ref="F28:X28" si="13">F26-F27</f>
        <v>-902.69235142846355</v>
      </c>
      <c r="G28" s="104">
        <f t="shared" si="13"/>
        <v>-1050.6404999424185</v>
      </c>
      <c r="H28" s="104">
        <f t="shared" si="13"/>
        <v>-952.5423370955059</v>
      </c>
      <c r="I28" s="104">
        <f t="shared" si="13"/>
        <v>-839.379970631182</v>
      </c>
      <c r="J28" s="104">
        <f t="shared" si="13"/>
        <v>-554.52853400461481</v>
      </c>
      <c r="K28" s="104">
        <f t="shared" si="13"/>
        <v>-248.03753256969776</v>
      </c>
      <c r="L28" s="104">
        <f t="shared" si="13"/>
        <v>-63.187416753293292</v>
      </c>
      <c r="M28" s="104">
        <f t="shared" si="13"/>
        <v>0</v>
      </c>
      <c r="N28" s="104">
        <f t="shared" si="13"/>
        <v>0</v>
      </c>
      <c r="O28" s="104">
        <f t="shared" si="13"/>
        <v>0</v>
      </c>
      <c r="P28" s="104">
        <f t="shared" si="13"/>
        <v>61.476571588752677</v>
      </c>
      <c r="Q28" s="104">
        <f t="shared" si="13"/>
        <v>575.95502256201894</v>
      </c>
      <c r="R28" s="104">
        <f t="shared" si="13"/>
        <v>599.97234700285526</v>
      </c>
      <c r="S28" s="104">
        <f t="shared" si="13"/>
        <v>624.99119387287465</v>
      </c>
      <c r="T28" s="104">
        <f t="shared" si="13"/>
        <v>2729.3977766573726</v>
      </c>
      <c r="U28" s="104">
        <f t="shared" si="13"/>
        <v>2843.213663943985</v>
      </c>
      <c r="V28" s="104">
        <f t="shared" si="13"/>
        <v>2885.1627717948718</v>
      </c>
      <c r="W28" s="104">
        <f t="shared" si="13"/>
        <v>2885.1627717948718</v>
      </c>
      <c r="X28" s="104">
        <f t="shared" si="13"/>
        <v>2885.1627717948718</v>
      </c>
    </row>
    <row r="29" spans="1:24" s="3" customFormat="1" ht="20.100000000000001" customHeight="1">
      <c r="B29" s="66">
        <v>7</v>
      </c>
      <c r="C29" s="69" t="s">
        <v>99</v>
      </c>
      <c r="D29" s="23"/>
      <c r="E29" s="104">
        <f>E28</f>
        <v>-986.75807863247883</v>
      </c>
      <c r="F29" s="104">
        <f>F28+E29</f>
        <v>-1889.4504300609424</v>
      </c>
      <c r="G29" s="104">
        <f t="shared" ref="G29:X29" si="14">G28+F29</f>
        <v>-2940.0909300033609</v>
      </c>
      <c r="H29" s="104">
        <f t="shared" si="14"/>
        <v>-3892.6332670988668</v>
      </c>
      <c r="I29" s="104">
        <f t="shared" si="14"/>
        <v>-4732.0132377300488</v>
      </c>
      <c r="J29" s="104">
        <f t="shared" si="14"/>
        <v>-5286.5417717346636</v>
      </c>
      <c r="K29" s="104">
        <f t="shared" si="14"/>
        <v>-5534.5793043043614</v>
      </c>
      <c r="L29" s="104">
        <f t="shared" si="14"/>
        <v>-5597.7667210576546</v>
      </c>
      <c r="M29" s="104">
        <f t="shared" si="14"/>
        <v>-5597.7667210576546</v>
      </c>
      <c r="N29" s="104">
        <f t="shared" si="14"/>
        <v>-5597.7667210576546</v>
      </c>
      <c r="O29" s="104">
        <f t="shared" si="14"/>
        <v>-5597.7667210576546</v>
      </c>
      <c r="P29" s="104">
        <f t="shared" si="14"/>
        <v>-5536.2901494689022</v>
      </c>
      <c r="Q29" s="104">
        <f t="shared" si="14"/>
        <v>-4960.3351269068835</v>
      </c>
      <c r="R29" s="104">
        <f t="shared" si="14"/>
        <v>-4360.3627799040278</v>
      </c>
      <c r="S29" s="104">
        <f t="shared" si="14"/>
        <v>-3735.3715860311531</v>
      </c>
      <c r="T29" s="104">
        <f t="shared" si="14"/>
        <v>-1005.9738093737806</v>
      </c>
      <c r="U29" s="104">
        <f t="shared" si="14"/>
        <v>1837.2398545702044</v>
      </c>
      <c r="V29" s="104">
        <f t="shared" si="14"/>
        <v>4722.4026263650758</v>
      </c>
      <c r="W29" s="104">
        <f t="shared" si="14"/>
        <v>7607.565398159948</v>
      </c>
      <c r="X29" s="104">
        <f t="shared" si="14"/>
        <v>10492.72816995482</v>
      </c>
    </row>
    <row r="30" spans="1:24" ht="20.100000000000001" customHeight="1">
      <c r="B30" s="67">
        <v>8</v>
      </c>
      <c r="C30" s="68" t="s">
        <v>100</v>
      </c>
      <c r="D30" s="34"/>
      <c r="E30" s="112">
        <f t="shared" ref="E30:X30" si="15">IF(E28&lt;0,-E28,0)</f>
        <v>986.75807863247883</v>
      </c>
      <c r="F30" s="112">
        <f t="shared" si="15"/>
        <v>902.69235142846355</v>
      </c>
      <c r="G30" s="112">
        <f t="shared" si="15"/>
        <v>1050.6404999424185</v>
      </c>
      <c r="H30" s="112">
        <f t="shared" si="15"/>
        <v>952.5423370955059</v>
      </c>
      <c r="I30" s="112">
        <f t="shared" si="15"/>
        <v>839.379970631182</v>
      </c>
      <c r="J30" s="112">
        <f t="shared" si="15"/>
        <v>554.52853400461481</v>
      </c>
      <c r="K30" s="112">
        <f t="shared" si="15"/>
        <v>248.03753256969776</v>
      </c>
      <c r="L30" s="112">
        <f t="shared" si="15"/>
        <v>63.187416753293292</v>
      </c>
      <c r="M30" s="112">
        <f t="shared" si="15"/>
        <v>0</v>
      </c>
      <c r="N30" s="112">
        <f t="shared" si="15"/>
        <v>0</v>
      </c>
      <c r="O30" s="112">
        <f t="shared" si="15"/>
        <v>0</v>
      </c>
      <c r="P30" s="112">
        <f t="shared" si="15"/>
        <v>0</v>
      </c>
      <c r="Q30" s="112">
        <f t="shared" si="15"/>
        <v>0</v>
      </c>
      <c r="R30" s="112">
        <f t="shared" si="15"/>
        <v>0</v>
      </c>
      <c r="S30" s="112">
        <f t="shared" si="15"/>
        <v>0</v>
      </c>
      <c r="T30" s="112">
        <f t="shared" si="15"/>
        <v>0</v>
      </c>
      <c r="U30" s="112">
        <f t="shared" si="15"/>
        <v>0</v>
      </c>
      <c r="V30" s="112">
        <f t="shared" si="15"/>
        <v>0</v>
      </c>
      <c r="W30" s="112">
        <f t="shared" si="15"/>
        <v>0</v>
      </c>
      <c r="X30" s="113">
        <f t="shared" si="15"/>
        <v>0</v>
      </c>
    </row>
    <row r="31" spans="1:24" ht="20.100000000000001" customHeight="1"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4"/>
      <c r="V31" s="4"/>
      <c r="W31" s="4"/>
      <c r="X31" s="4"/>
    </row>
    <row r="32" spans="1:24" ht="20.100000000000001" customHeight="1">
      <c r="C32" s="7"/>
    </row>
    <row r="33" spans="7:7" ht="20.100000000000001" customHeight="1">
      <c r="G33" s="7" t="s">
        <v>125</v>
      </c>
    </row>
  </sheetData>
  <mergeCells count="5">
    <mergeCell ref="B1:X1"/>
    <mergeCell ref="B2:X2"/>
    <mergeCell ref="E3:X3"/>
    <mergeCell ref="B3:B4"/>
    <mergeCell ref="C3:C4"/>
  </mergeCells>
  <phoneticPr fontId="29" type="noConversion"/>
  <pageMargins left="0.69861111111111107" right="0.69861111111111107" top="0.75" bottom="0.75" header="0.3" footer="0.3"/>
  <pageSetup paperSize="9" firstPageNumber="4294963191" orientation="portrait" horizontalDpi="1200" verticalDpi="12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2"/>
  <sheetViews>
    <sheetView zoomScaleSheetLayoutView="100" workbookViewId="0">
      <selection activeCell="C25" sqref="C25"/>
    </sheetView>
  </sheetViews>
  <sheetFormatPr defaultRowHeight="20.100000000000001" customHeight="1"/>
  <cols>
    <col min="1" max="1" width="5" style="136" customWidth="1"/>
    <col min="2" max="2" width="26.5" style="114" customWidth="1"/>
    <col min="3" max="3" width="20.375" style="114" customWidth="1"/>
    <col min="4" max="24" width="10" style="136" customWidth="1"/>
    <col min="25" max="25" width="9" style="114" bestFit="1"/>
    <col min="26" max="16384" width="9" style="114"/>
  </cols>
  <sheetData>
    <row r="1" spans="1:24" ht="20.100000000000001" customHeight="1">
      <c r="A1" s="190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</row>
    <row r="2" spans="1:24" s="115" customFormat="1" ht="27.75" customHeight="1">
      <c r="A2" s="191" t="s">
        <v>126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3"/>
    </row>
    <row r="3" spans="1:24" s="117" customFormat="1" ht="26.25" customHeight="1">
      <c r="A3" s="197" t="s">
        <v>0</v>
      </c>
      <c r="B3" s="199" t="s">
        <v>52</v>
      </c>
      <c r="C3" s="201" t="s">
        <v>101</v>
      </c>
      <c r="D3" s="116" t="s">
        <v>73</v>
      </c>
      <c r="E3" s="194" t="s">
        <v>102</v>
      </c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6"/>
    </row>
    <row r="4" spans="1:24" s="117" customFormat="1" ht="20.100000000000001" customHeight="1">
      <c r="A4" s="198"/>
      <c r="B4" s="200"/>
      <c r="C4" s="202"/>
      <c r="D4" s="118">
        <v>1</v>
      </c>
      <c r="E4" s="118">
        <v>2</v>
      </c>
      <c r="F4" s="118">
        <v>3</v>
      </c>
      <c r="G4" s="118">
        <v>4</v>
      </c>
      <c r="H4" s="118">
        <v>5</v>
      </c>
      <c r="I4" s="118">
        <v>6</v>
      </c>
      <c r="J4" s="118">
        <v>7</v>
      </c>
      <c r="K4" s="118">
        <v>8</v>
      </c>
      <c r="L4" s="118">
        <v>9</v>
      </c>
      <c r="M4" s="118">
        <v>10</v>
      </c>
      <c r="N4" s="118">
        <v>11</v>
      </c>
      <c r="O4" s="118">
        <v>12</v>
      </c>
      <c r="P4" s="118">
        <v>13</v>
      </c>
      <c r="Q4" s="118">
        <v>14</v>
      </c>
      <c r="R4" s="118">
        <v>15</v>
      </c>
      <c r="S4" s="118">
        <v>16</v>
      </c>
      <c r="T4" s="118">
        <v>17</v>
      </c>
      <c r="U4" s="118">
        <v>18</v>
      </c>
      <c r="V4" s="118">
        <v>19</v>
      </c>
      <c r="W4" s="118">
        <v>20</v>
      </c>
      <c r="X4" s="119">
        <v>21</v>
      </c>
    </row>
    <row r="5" spans="1:24" s="117" customFormat="1" ht="20.100000000000001" customHeight="1">
      <c r="A5" s="219">
        <v>1</v>
      </c>
      <c r="B5" s="120" t="s">
        <v>103</v>
      </c>
      <c r="C5" s="120"/>
      <c r="D5" s="108">
        <f>SUM(D6:D8)</f>
        <v>0</v>
      </c>
      <c r="E5" s="108">
        <f>SUM(E6:E9)</f>
        <v>6343.3899999999994</v>
      </c>
      <c r="F5" s="108">
        <f t="shared" ref="F5:X5" si="0">SUM(F6:F9)</f>
        <v>6343.3899999999994</v>
      </c>
      <c r="G5" s="108">
        <f t="shared" si="0"/>
        <v>6343.3899999999994</v>
      </c>
      <c r="H5" s="108">
        <f t="shared" si="0"/>
        <v>6343.3899999999994</v>
      </c>
      <c r="I5" s="108">
        <f t="shared" si="0"/>
        <v>6343.3899999999994</v>
      </c>
      <c r="J5" s="108">
        <f t="shared" si="0"/>
        <v>6061.3225641025638</v>
      </c>
      <c r="K5" s="108">
        <f t="shared" si="0"/>
        <v>5882.5454273504274</v>
      </c>
      <c r="L5" s="108">
        <f t="shared" si="0"/>
        <v>5882.5454273504274</v>
      </c>
      <c r="M5" s="108">
        <f t="shared" si="0"/>
        <v>5882.5454273504274</v>
      </c>
      <c r="N5" s="108">
        <f t="shared" si="0"/>
        <v>5882.5454273504274</v>
      </c>
      <c r="O5" s="108">
        <f t="shared" si="0"/>
        <v>5882.5454273504274</v>
      </c>
      <c r="P5" s="108">
        <f t="shared" si="0"/>
        <v>5882.5454273504274</v>
      </c>
      <c r="Q5" s="108">
        <f t="shared" si="0"/>
        <v>5882.5454273504274</v>
      </c>
      <c r="R5" s="108">
        <f t="shared" si="0"/>
        <v>5882.5454273504274</v>
      </c>
      <c r="S5" s="108">
        <f t="shared" si="0"/>
        <v>5882.5454273504274</v>
      </c>
      <c r="T5" s="108">
        <f t="shared" si="0"/>
        <v>5882.5454273504274</v>
      </c>
      <c r="U5" s="108">
        <f t="shared" si="0"/>
        <v>5882.5454273504274</v>
      </c>
      <c r="V5" s="108">
        <f t="shared" si="0"/>
        <v>5882.5454273504274</v>
      </c>
      <c r="W5" s="108">
        <f t="shared" si="0"/>
        <v>5882.5454273504274</v>
      </c>
      <c r="X5" s="109">
        <f t="shared" si="0"/>
        <v>8421.645427350426</v>
      </c>
    </row>
    <row r="6" spans="1:24" s="117" customFormat="1" ht="20.100000000000001" customHeight="1">
      <c r="A6" s="215">
        <v>1.1000000000000001</v>
      </c>
      <c r="B6" s="120" t="s">
        <v>75</v>
      </c>
      <c r="C6" s="120"/>
      <c r="D6" s="108">
        <f>'Profit &amp; Loss'!D5</f>
        <v>0</v>
      </c>
      <c r="E6" s="108">
        <f>'Profit &amp; Loss'!E5</f>
        <v>5421.7008547008545</v>
      </c>
      <c r="F6" s="108">
        <f>'Profit &amp; Loss'!F5</f>
        <v>5421.7008547008545</v>
      </c>
      <c r="G6" s="108">
        <f>'Profit &amp; Loss'!G5</f>
        <v>5421.7008547008545</v>
      </c>
      <c r="H6" s="108">
        <f>'Profit &amp; Loss'!H5</f>
        <v>5421.7008547008545</v>
      </c>
      <c r="I6" s="108">
        <f>'Profit &amp; Loss'!I5</f>
        <v>5421.7008547008545</v>
      </c>
      <c r="J6" s="108">
        <f>'Profit &amp; Loss'!J5</f>
        <v>5421.7008547008545</v>
      </c>
      <c r="K6" s="108">
        <f>'Profit &amp; Loss'!K5</f>
        <v>5421.7008547008545</v>
      </c>
      <c r="L6" s="108">
        <f>'Profit &amp; Loss'!L5</f>
        <v>5421.7008547008545</v>
      </c>
      <c r="M6" s="108">
        <f>'Profit &amp; Loss'!M5</f>
        <v>5421.7008547008545</v>
      </c>
      <c r="N6" s="108">
        <f>'Profit &amp; Loss'!N5</f>
        <v>5421.7008547008545</v>
      </c>
      <c r="O6" s="108">
        <f>'Profit &amp; Loss'!O5</f>
        <v>5421.7008547008545</v>
      </c>
      <c r="P6" s="108">
        <f>'Profit &amp; Loss'!P5</f>
        <v>5421.7008547008545</v>
      </c>
      <c r="Q6" s="108">
        <f>'Profit &amp; Loss'!Q5</f>
        <v>5421.7008547008545</v>
      </c>
      <c r="R6" s="108">
        <f>'Profit &amp; Loss'!R5</f>
        <v>5421.7008547008545</v>
      </c>
      <c r="S6" s="108">
        <f>'Profit &amp; Loss'!S5</f>
        <v>5421.7008547008545</v>
      </c>
      <c r="T6" s="108">
        <f>'Profit &amp; Loss'!T5</f>
        <v>5421.7008547008545</v>
      </c>
      <c r="U6" s="108">
        <f>'Profit &amp; Loss'!U5</f>
        <v>5421.7008547008545</v>
      </c>
      <c r="V6" s="108">
        <f>'Profit &amp; Loss'!V5</f>
        <v>5421.7008547008545</v>
      </c>
      <c r="W6" s="108">
        <f>'Profit &amp; Loss'!W5</f>
        <v>5421.7008547008545</v>
      </c>
      <c r="X6" s="109">
        <f>'Profit &amp; Loss'!X5</f>
        <v>5421.7008547008545</v>
      </c>
    </row>
    <row r="7" spans="1:24" s="117" customFormat="1" ht="20.100000000000001" customHeight="1">
      <c r="A7" s="215">
        <v>1.2</v>
      </c>
      <c r="B7" s="120" t="s">
        <v>104</v>
      </c>
      <c r="C7" s="120"/>
      <c r="D7" s="108">
        <v>0</v>
      </c>
      <c r="E7" s="108">
        <v>0</v>
      </c>
      <c r="F7" s="108">
        <v>0</v>
      </c>
      <c r="G7" s="108">
        <v>0</v>
      </c>
      <c r="H7" s="108">
        <v>0</v>
      </c>
      <c r="I7" s="108">
        <v>0</v>
      </c>
      <c r="J7" s="108">
        <v>0</v>
      </c>
      <c r="K7" s="108">
        <v>0</v>
      </c>
      <c r="L7" s="108">
        <v>0</v>
      </c>
      <c r="M7" s="108">
        <v>0</v>
      </c>
      <c r="N7" s="108">
        <v>0</v>
      </c>
      <c r="O7" s="108">
        <v>0</v>
      </c>
      <c r="P7" s="108">
        <v>0</v>
      </c>
      <c r="Q7" s="108">
        <v>0</v>
      </c>
      <c r="R7" s="108">
        <v>0</v>
      </c>
      <c r="S7" s="108">
        <v>0</v>
      </c>
      <c r="T7" s="108">
        <v>0</v>
      </c>
      <c r="U7" s="108">
        <v>0</v>
      </c>
      <c r="V7" s="108">
        <v>0</v>
      </c>
      <c r="W7" s="108">
        <v>0</v>
      </c>
      <c r="X7" s="109">
        <f>('Basic Parameters'!E12+'Basic Parameters'!E13)*'Basic Parameters'!E36</f>
        <v>2404.1</v>
      </c>
    </row>
    <row r="8" spans="1:24" s="117" customFormat="1" ht="20.100000000000001" customHeight="1">
      <c r="A8" s="215">
        <v>1.3</v>
      </c>
      <c r="B8" s="120" t="s">
        <v>105</v>
      </c>
      <c r="C8" s="120"/>
      <c r="D8" s="108">
        <v>0</v>
      </c>
      <c r="E8" s="108">
        <v>0</v>
      </c>
      <c r="F8" s="108">
        <v>0</v>
      </c>
      <c r="G8" s="108">
        <v>0</v>
      </c>
      <c r="H8" s="108">
        <v>0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9">
        <f>D12+E12</f>
        <v>135</v>
      </c>
    </row>
    <row r="9" spans="1:24" s="117" customFormat="1" ht="20.100000000000001" customHeight="1">
      <c r="A9" s="215">
        <v>1.4</v>
      </c>
      <c r="B9" s="120" t="s">
        <v>106</v>
      </c>
      <c r="C9" s="120"/>
      <c r="D9" s="108">
        <v>0</v>
      </c>
      <c r="E9" s="108">
        <f>'Profit &amp; Loss'!E11+'Profit &amp; Loss'!E13</f>
        <v>921.68914529914537</v>
      </c>
      <c r="F9" s="108">
        <f>'Profit &amp; Loss'!F11+'Profit &amp; Loss'!F13</f>
        <v>921.68914529914537</v>
      </c>
      <c r="G9" s="108">
        <f>'Profit &amp; Loss'!G11+'Profit &amp; Loss'!G13</f>
        <v>921.68914529914537</v>
      </c>
      <c r="H9" s="108">
        <f>'Profit &amp; Loss'!H11+'Profit &amp; Loss'!H13</f>
        <v>921.68914529914537</v>
      </c>
      <c r="I9" s="108">
        <f>'Profit &amp; Loss'!I11+'Profit &amp; Loss'!I13</f>
        <v>921.68914529914537</v>
      </c>
      <c r="J9" s="108">
        <f>'Profit &amp; Loss'!J11+'Profit &amp; Loss'!J13</f>
        <v>639.62170940170904</v>
      </c>
      <c r="K9" s="108">
        <f>'Profit &amp; Loss'!K11+'Profit &amp; Loss'!K13</f>
        <v>460.84457264957268</v>
      </c>
      <c r="L9" s="108">
        <f>'Profit &amp; Loss'!L11+'Profit &amp; Loss'!L13</f>
        <v>460.84457264957268</v>
      </c>
      <c r="M9" s="108">
        <f>'Profit &amp; Loss'!M11+'Profit &amp; Loss'!M13</f>
        <v>460.84457264957268</v>
      </c>
      <c r="N9" s="108">
        <f>'Profit &amp; Loss'!N11+'Profit &amp; Loss'!N13</f>
        <v>460.84457264957268</v>
      </c>
      <c r="O9" s="108">
        <f>'Profit &amp; Loss'!O11+'Profit &amp; Loss'!O13</f>
        <v>460.84457264957268</v>
      </c>
      <c r="P9" s="108">
        <f>'Profit &amp; Loss'!P11+'Profit &amp; Loss'!P13</f>
        <v>460.84457264957268</v>
      </c>
      <c r="Q9" s="108">
        <f>'Profit &amp; Loss'!Q11+'Profit &amp; Loss'!Q13</f>
        <v>460.84457264957268</v>
      </c>
      <c r="R9" s="108">
        <f>'Profit &amp; Loss'!R11+'Profit &amp; Loss'!R13</f>
        <v>460.84457264957268</v>
      </c>
      <c r="S9" s="108">
        <f>'Profit &amp; Loss'!S11+'Profit &amp; Loss'!S13</f>
        <v>460.84457264957268</v>
      </c>
      <c r="T9" s="108">
        <f>'Profit &amp; Loss'!T11+'Profit &amp; Loss'!T13</f>
        <v>460.84457264957268</v>
      </c>
      <c r="U9" s="108">
        <f>'Profit &amp; Loss'!U11+'Profit &amp; Loss'!U13</f>
        <v>460.84457264957268</v>
      </c>
      <c r="V9" s="108">
        <f>'Profit &amp; Loss'!V11+'Profit &amp; Loss'!V13</f>
        <v>460.84457264957268</v>
      </c>
      <c r="W9" s="108">
        <f>'Profit &amp; Loss'!W11+'Profit &amp; Loss'!W13</f>
        <v>460.84457264957268</v>
      </c>
      <c r="X9" s="109">
        <f>'Profit &amp; Loss'!X11+'Profit &amp; Loss'!X13</f>
        <v>460.84457264957268</v>
      </c>
    </row>
    <row r="10" spans="1:24" s="117" customFormat="1" ht="20.100000000000001" customHeight="1">
      <c r="A10" s="219">
        <v>2</v>
      </c>
      <c r="B10" s="120" t="s">
        <v>107</v>
      </c>
      <c r="C10" s="120"/>
      <c r="D10" s="108">
        <f t="shared" ref="D10:X10" si="1">SUM(D11:D15)</f>
        <v>46901</v>
      </c>
      <c r="E10" s="108">
        <f t="shared" si="1"/>
        <v>1130.0324000000001</v>
      </c>
      <c r="F10" s="108">
        <f t="shared" si="1"/>
        <v>995.03240000000017</v>
      </c>
      <c r="G10" s="108">
        <f t="shared" si="1"/>
        <v>1240.2506000000001</v>
      </c>
      <c r="H10" s="108">
        <f t="shared" si="1"/>
        <v>1240.2506000000001</v>
      </c>
      <c r="I10" s="108">
        <f t="shared" si="1"/>
        <v>1240.2506000000001</v>
      </c>
      <c r="J10" s="108">
        <f t="shared" si="1"/>
        <v>1367.1207897435897</v>
      </c>
      <c r="K10" s="108">
        <f t="shared" si="1"/>
        <v>1395.7251316239317</v>
      </c>
      <c r="L10" s="108">
        <f t="shared" si="1"/>
        <v>1395.7251316239317</v>
      </c>
      <c r="M10" s="108">
        <f t="shared" si="1"/>
        <v>1395.7251316239317</v>
      </c>
      <c r="N10" s="108">
        <f t="shared" si="1"/>
        <v>1395.7251316239317</v>
      </c>
      <c r="O10" s="108">
        <f t="shared" si="1"/>
        <v>1756.3401316239317</v>
      </c>
      <c r="P10" s="108">
        <f t="shared" si="1"/>
        <v>1880.5739719278463</v>
      </c>
      <c r="Q10" s="108">
        <f t="shared" si="1"/>
        <v>1948.3251391446047</v>
      </c>
      <c r="R10" s="108">
        <f t="shared" si="1"/>
        <v>1956.3309139582168</v>
      </c>
      <c r="S10" s="108">
        <f t="shared" si="1"/>
        <v>1964.6705295815566</v>
      </c>
      <c r="T10" s="108">
        <f t="shared" si="1"/>
        <v>2940.2067905097224</v>
      </c>
      <c r="U10" s="108">
        <f t="shared" si="1"/>
        <v>2978.14541960526</v>
      </c>
      <c r="V10" s="108">
        <f t="shared" si="1"/>
        <v>2992.1284555555558</v>
      </c>
      <c r="W10" s="108">
        <f t="shared" si="1"/>
        <v>2992.1284555555558</v>
      </c>
      <c r="X10" s="109">
        <f t="shared" si="1"/>
        <v>2992.1284555555558</v>
      </c>
    </row>
    <row r="11" spans="1:24" s="117" customFormat="1" ht="20.100000000000001" customHeight="1">
      <c r="A11" s="215">
        <v>2.1</v>
      </c>
      <c r="B11" s="120" t="s">
        <v>108</v>
      </c>
      <c r="C11" s="120"/>
      <c r="D11" s="108">
        <f>'Basic Parameters'!E12</f>
        <v>46901</v>
      </c>
      <c r="E11" s="108">
        <v>0</v>
      </c>
      <c r="F11" s="108">
        <v>0</v>
      </c>
      <c r="G11" s="108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0</v>
      </c>
      <c r="X11" s="109">
        <v>0</v>
      </c>
    </row>
    <row r="12" spans="1:24" s="117" customFormat="1" ht="20.100000000000001" customHeight="1">
      <c r="A12" s="215">
        <v>2.2000000000000002</v>
      </c>
      <c r="B12" s="120" t="s">
        <v>20</v>
      </c>
      <c r="C12" s="120"/>
      <c r="D12" s="108">
        <v>0</v>
      </c>
      <c r="E12" s="108">
        <v>135</v>
      </c>
      <c r="F12" s="108">
        <v>0</v>
      </c>
      <c r="G12" s="108">
        <v>0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0</v>
      </c>
      <c r="X12" s="109">
        <v>0</v>
      </c>
    </row>
    <row r="13" spans="1:24" s="117" customFormat="1" ht="20.100000000000001" customHeight="1">
      <c r="A13" s="215">
        <v>2.2999999999999998</v>
      </c>
      <c r="B13" s="120" t="s">
        <v>60</v>
      </c>
      <c r="C13" s="120"/>
      <c r="D13" s="108">
        <f>'Total Cost &amp; Expenses'!D11</f>
        <v>0</v>
      </c>
      <c r="E13" s="108">
        <f>'Total Cost &amp; Expenses'!E11</f>
        <v>995.03240000000017</v>
      </c>
      <c r="F13" s="108">
        <f>'Total Cost &amp; Expenses'!F11</f>
        <v>995.03240000000017</v>
      </c>
      <c r="G13" s="108">
        <f>'Total Cost &amp; Expenses'!G11</f>
        <v>1240.2506000000001</v>
      </c>
      <c r="H13" s="108">
        <f>'Total Cost &amp; Expenses'!H11</f>
        <v>1240.2506000000001</v>
      </c>
      <c r="I13" s="108">
        <f>'Total Cost &amp; Expenses'!I11</f>
        <v>1240.2506000000001</v>
      </c>
      <c r="J13" s="108">
        <f>'Total Cost &amp; Expenses'!J11</f>
        <v>1321.99</v>
      </c>
      <c r="K13" s="108">
        <f>'Total Cost &amp; Expenses'!K11</f>
        <v>1321.99</v>
      </c>
      <c r="L13" s="108">
        <f>'Total Cost &amp; Expenses'!L11</f>
        <v>1321.99</v>
      </c>
      <c r="M13" s="108">
        <f>'Total Cost &amp; Expenses'!M11</f>
        <v>1321.99</v>
      </c>
      <c r="N13" s="108">
        <f>'Total Cost &amp; Expenses'!N11</f>
        <v>1321.99</v>
      </c>
      <c r="O13" s="108">
        <f>'Total Cost &amp; Expenses'!O11</f>
        <v>1682.605</v>
      </c>
      <c r="P13" s="108">
        <f>'Total Cost &amp; Expenses'!P11</f>
        <v>1682.605</v>
      </c>
      <c r="Q13" s="108">
        <f>'Total Cost &amp; Expenses'!Q11</f>
        <v>1682.605</v>
      </c>
      <c r="R13" s="108">
        <f>'Total Cost &amp; Expenses'!R11</f>
        <v>1682.605</v>
      </c>
      <c r="S13" s="108">
        <f>'Total Cost &amp; Expenses'!S11</f>
        <v>1682.605</v>
      </c>
      <c r="T13" s="108">
        <f>'Total Cost &amp; Expenses'!T11</f>
        <v>1956.6723999999999</v>
      </c>
      <c r="U13" s="108">
        <f>'Total Cost &amp; Expenses'!U11</f>
        <v>1956.6723999999999</v>
      </c>
      <c r="V13" s="108">
        <f>'Total Cost &amp; Expenses'!V11</f>
        <v>1956.6723999999999</v>
      </c>
      <c r="W13" s="108">
        <f>'Total Cost &amp; Expenses'!W11</f>
        <v>1956.6723999999999</v>
      </c>
      <c r="X13" s="109">
        <f>'Total Cost &amp; Expenses'!X11</f>
        <v>1956.6723999999999</v>
      </c>
    </row>
    <row r="14" spans="1:24" s="117" customFormat="1" ht="20.100000000000001" customHeight="1">
      <c r="A14" s="215">
        <v>2.4</v>
      </c>
      <c r="B14" s="120" t="s">
        <v>83</v>
      </c>
      <c r="C14" s="120"/>
      <c r="D14" s="108">
        <f>'Profit &amp; Loss'!D14</f>
        <v>0</v>
      </c>
      <c r="E14" s="108">
        <f>'Profit &amp; Loss'!E14</f>
        <v>0</v>
      </c>
      <c r="F14" s="108">
        <f>'Profit &amp; Loss'!F14</f>
        <v>0</v>
      </c>
      <c r="G14" s="108">
        <f>'Profit &amp; Loss'!G14</f>
        <v>0</v>
      </c>
      <c r="H14" s="108">
        <f>'Profit &amp; Loss'!H14</f>
        <v>0</v>
      </c>
      <c r="I14" s="108">
        <f>'Profit &amp; Loss'!I14</f>
        <v>0</v>
      </c>
      <c r="J14" s="108">
        <f>'Profit &amp; Loss'!J14</f>
        <v>45.130789743589816</v>
      </c>
      <c r="K14" s="108">
        <f>'Profit &amp; Loss'!K14</f>
        <v>73.735131623931636</v>
      </c>
      <c r="L14" s="108">
        <f>'Profit &amp; Loss'!L14</f>
        <v>73.735131623931636</v>
      </c>
      <c r="M14" s="108">
        <f>'Profit &amp; Loss'!M14</f>
        <v>73.735131623931636</v>
      </c>
      <c r="N14" s="108">
        <f>'Profit &amp; Loss'!N14</f>
        <v>73.735131623931636</v>
      </c>
      <c r="O14" s="108">
        <f>'Profit &amp; Loss'!O14</f>
        <v>73.735131623931636</v>
      </c>
      <c r="P14" s="108">
        <f>'Profit &amp; Loss'!P14</f>
        <v>73.735131623931636</v>
      </c>
      <c r="Q14" s="108">
        <f>'Profit &amp; Loss'!Q14</f>
        <v>73.735131623931636</v>
      </c>
      <c r="R14" s="108">
        <f>'Profit &amp; Loss'!R14</f>
        <v>73.735131623931636</v>
      </c>
      <c r="S14" s="108">
        <f>'Profit &amp; Loss'!S14</f>
        <v>73.735131623931636</v>
      </c>
      <c r="T14" s="108">
        <f>'Profit &amp; Loss'!T14</f>
        <v>73.735131623931636</v>
      </c>
      <c r="U14" s="108">
        <f>'Profit &amp; Loss'!U14</f>
        <v>73.735131623931636</v>
      </c>
      <c r="V14" s="108">
        <f>'Profit &amp; Loss'!V14</f>
        <v>73.735131623931636</v>
      </c>
      <c r="W14" s="108">
        <f>'Profit &amp; Loss'!W14</f>
        <v>73.735131623931636</v>
      </c>
      <c r="X14" s="109">
        <f>'Profit &amp; Loss'!X14</f>
        <v>73.735131623931636</v>
      </c>
    </row>
    <row r="15" spans="1:24" s="117" customFormat="1" ht="20.100000000000001" customHeight="1">
      <c r="A15" s="215">
        <v>2.5</v>
      </c>
      <c r="B15" s="120" t="s">
        <v>97</v>
      </c>
      <c r="C15" s="120"/>
      <c r="D15" s="108">
        <f>'Profit &amp; Loss'!D27</f>
        <v>0</v>
      </c>
      <c r="E15" s="108">
        <f>'Profit &amp; Loss'!E27</f>
        <v>0</v>
      </c>
      <c r="F15" s="108">
        <f>'Profit &amp; Loss'!F27</f>
        <v>0</v>
      </c>
      <c r="G15" s="108">
        <f>'Profit &amp; Loss'!G27</f>
        <v>0</v>
      </c>
      <c r="H15" s="108">
        <f>'Profit &amp; Loss'!H27</f>
        <v>0</v>
      </c>
      <c r="I15" s="108">
        <f>'Profit &amp; Loss'!I27</f>
        <v>0</v>
      </c>
      <c r="J15" s="108">
        <f>'Profit &amp; Loss'!J27</f>
        <v>0</v>
      </c>
      <c r="K15" s="108">
        <f>'Profit &amp; Loss'!K27</f>
        <v>0</v>
      </c>
      <c r="L15" s="108">
        <f>'Profit &amp; Loss'!L27</f>
        <v>0</v>
      </c>
      <c r="M15" s="108">
        <f>'Profit &amp; Loss'!M27</f>
        <v>0</v>
      </c>
      <c r="N15" s="108">
        <f>'Profit &amp; Loss'!N27</f>
        <v>0</v>
      </c>
      <c r="O15" s="108">
        <f>'Profit &amp; Loss'!O27</f>
        <v>0</v>
      </c>
      <c r="P15" s="108">
        <f>'Profit &amp; Loss'!P27</f>
        <v>124.23384030391458</v>
      </c>
      <c r="Q15" s="108">
        <f>'Profit &amp; Loss'!Q27</f>
        <v>191.98500752067298</v>
      </c>
      <c r="R15" s="108">
        <f>'Profit &amp; Loss'!R27</f>
        <v>199.99078233428509</v>
      </c>
      <c r="S15" s="108">
        <f>'Profit &amp; Loss'!S27</f>
        <v>208.33039795762488</v>
      </c>
      <c r="T15" s="108">
        <f>'Profit &amp; Loss'!T27</f>
        <v>909.79925888579089</v>
      </c>
      <c r="U15" s="108">
        <f>'Profit &amp; Loss'!U27</f>
        <v>947.73788798132841</v>
      </c>
      <c r="V15" s="108">
        <f>'Profit &amp; Loss'!V27</f>
        <v>961.72092393162393</v>
      </c>
      <c r="W15" s="108">
        <f>'Profit &amp; Loss'!W27</f>
        <v>961.72092393162393</v>
      </c>
      <c r="X15" s="109">
        <f>'Profit &amp; Loss'!X27</f>
        <v>961.72092393162393</v>
      </c>
    </row>
    <row r="16" spans="1:24" ht="20.100000000000001" customHeight="1">
      <c r="A16" s="220">
        <v>3</v>
      </c>
      <c r="B16" s="121" t="s">
        <v>109</v>
      </c>
      <c r="C16" s="121"/>
      <c r="D16" s="122">
        <f t="shared" ref="D16:X16" si="2">D5-D10</f>
        <v>-46901</v>
      </c>
      <c r="E16" s="122">
        <f t="shared" si="2"/>
        <v>5213.3575999999994</v>
      </c>
      <c r="F16" s="122">
        <f t="shared" si="2"/>
        <v>5348.3575999999994</v>
      </c>
      <c r="G16" s="122">
        <f t="shared" si="2"/>
        <v>5103.1393999999991</v>
      </c>
      <c r="H16" s="122">
        <f t="shared" si="2"/>
        <v>5103.1393999999991</v>
      </c>
      <c r="I16" s="122">
        <f t="shared" si="2"/>
        <v>5103.1393999999991</v>
      </c>
      <c r="J16" s="122">
        <f t="shared" si="2"/>
        <v>4694.201774358974</v>
      </c>
      <c r="K16" s="122">
        <f t="shared" si="2"/>
        <v>4486.8202957264957</v>
      </c>
      <c r="L16" s="122">
        <f t="shared" si="2"/>
        <v>4486.8202957264957</v>
      </c>
      <c r="M16" s="122">
        <f t="shared" si="2"/>
        <v>4486.8202957264957</v>
      </c>
      <c r="N16" s="122">
        <f t="shared" si="2"/>
        <v>4486.8202957264957</v>
      </c>
      <c r="O16" s="122">
        <f t="shared" si="2"/>
        <v>4126.2052957264959</v>
      </c>
      <c r="P16" s="122">
        <f t="shared" si="2"/>
        <v>4001.9714554225811</v>
      </c>
      <c r="Q16" s="122">
        <f t="shared" si="2"/>
        <v>3934.2202882058227</v>
      </c>
      <c r="R16" s="122">
        <f t="shared" si="2"/>
        <v>3926.2145133922104</v>
      </c>
      <c r="S16" s="122">
        <f t="shared" si="2"/>
        <v>3917.8748977688711</v>
      </c>
      <c r="T16" s="122">
        <f t="shared" si="2"/>
        <v>2942.338636840705</v>
      </c>
      <c r="U16" s="122">
        <f t="shared" si="2"/>
        <v>2904.4000077451674</v>
      </c>
      <c r="V16" s="122">
        <f t="shared" si="2"/>
        <v>2890.4169717948716</v>
      </c>
      <c r="W16" s="122">
        <f t="shared" si="2"/>
        <v>2890.4169717948716</v>
      </c>
      <c r="X16" s="123">
        <f t="shared" si="2"/>
        <v>5429.5169717948702</v>
      </c>
    </row>
    <row r="17" spans="1:24" ht="20.100000000000001" customHeight="1">
      <c r="A17" s="216">
        <v>3.1</v>
      </c>
      <c r="B17" s="124" t="s">
        <v>110</v>
      </c>
      <c r="C17" s="124"/>
      <c r="D17" s="137">
        <f>IRR(D16:X16)</f>
        <v>7.2648323301185688E-2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6"/>
    </row>
    <row r="18" spans="1:24" ht="20.100000000000001" customHeight="1">
      <c r="A18" s="221">
        <v>4</v>
      </c>
      <c r="B18" s="127" t="s">
        <v>111</v>
      </c>
      <c r="C18" s="127"/>
      <c r="D18" s="128">
        <f>'Profit &amp; Loss'!D6*'Basic Parameters'!$E$46*'Basic Parameters'!$E$47*'Basic Parameters'!$E$48/10</f>
        <v>0</v>
      </c>
      <c r="E18" s="128">
        <f>'Profit &amp; Loss'!E6*'Basic Parameters'!$E$46*'Basic Parameters'!$E$47*'Basic Parameters'!$E$48/10</f>
        <v>951.94031847500014</v>
      </c>
      <c r="F18" s="128">
        <f>'Profit &amp; Loss'!F6*'Basic Parameters'!$E$46*'Basic Parameters'!$E$47*'Basic Parameters'!$E$48/10</f>
        <v>951.94031847500014</v>
      </c>
      <c r="G18" s="128">
        <f>'Profit &amp; Loss'!G6*'Basic Parameters'!$E$46*'Basic Parameters'!$E$47*'Basic Parameters'!$E$48/10</f>
        <v>951.94031847500014</v>
      </c>
      <c r="H18" s="128">
        <f>'Profit &amp; Loss'!H6*'Basic Parameters'!$E$46*'Basic Parameters'!$E$47*'Basic Parameters'!$E$48/10</f>
        <v>951.94031847500014</v>
      </c>
      <c r="I18" s="128">
        <f>'Profit &amp; Loss'!I6*'Basic Parameters'!$E$46*'Basic Parameters'!$E$47*'Basic Parameters'!$E$48/10</f>
        <v>951.94031847500014</v>
      </c>
      <c r="J18" s="128">
        <f>'Profit &amp; Loss'!J6*'Basic Parameters'!$E$46*'Basic Parameters'!$E$47*'Basic Parameters'!$E$48/10</f>
        <v>951.94031847500014</v>
      </c>
      <c r="K18" s="128">
        <f>'Profit &amp; Loss'!K6*'Basic Parameters'!$E$46*'Basic Parameters'!$E$47*'Basic Parameters'!$E$48/10</f>
        <v>951.94031847500014</v>
      </c>
      <c r="L18" s="128">
        <f>'Profit &amp; Loss'!L6*'Basic Parameters'!$E$46*'Basic Parameters'!$E$47*'Basic Parameters'!$E$48/10</f>
        <v>951.94031847500014</v>
      </c>
      <c r="M18" s="128">
        <f>'Profit &amp; Loss'!M6*'Basic Parameters'!$E$46*'Basic Parameters'!$E$47*'Basic Parameters'!$E$48/10</f>
        <v>951.94031847500014</v>
      </c>
      <c r="N18" s="128">
        <f>'Profit &amp; Loss'!N6*'Basic Parameters'!$E$46*'Basic Parameters'!$E$47*'Basic Parameters'!$E$48/10</f>
        <v>951.94031847500014</v>
      </c>
      <c r="O18" s="128">
        <f>'Profit &amp; Loss'!O6*'Basic Parameters'!$E$46*'Basic Parameters'!$E$47*'Basic Parameters'!$E$48/10</f>
        <v>951.94031847500014</v>
      </c>
      <c r="P18" s="128">
        <f>'Profit &amp; Loss'!P6*'Basic Parameters'!$E$46*'Basic Parameters'!$E$47*'Basic Parameters'!$E$48/10</f>
        <v>951.94031847500014</v>
      </c>
      <c r="Q18" s="128">
        <f>'Profit &amp; Loss'!Q6*'Basic Parameters'!$E$46*'Basic Parameters'!$E$47*'Basic Parameters'!$E$48/10</f>
        <v>951.94031847500014</v>
      </c>
      <c r="R18" s="128">
        <f>'Profit &amp; Loss'!R6*'Basic Parameters'!$E$46*'Basic Parameters'!$E$47*'Basic Parameters'!$E$48/10</f>
        <v>951.94031847500014</v>
      </c>
      <c r="S18" s="128">
        <f>'Profit &amp; Loss'!S6*'Basic Parameters'!$E$46*'Basic Parameters'!$E$47*'Basic Parameters'!$E$48/10</f>
        <v>951.94031847500014</v>
      </c>
      <c r="T18" s="128">
        <f>'Profit &amp; Loss'!T6*'Basic Parameters'!$E$46*'Basic Parameters'!$E$47*'Basic Parameters'!$E$48/10</f>
        <v>951.94031847500014</v>
      </c>
      <c r="U18" s="128">
        <f>'Profit &amp; Loss'!U6*'Basic Parameters'!$E$46*'Basic Parameters'!$E$47*'Basic Parameters'!$E$48/10</f>
        <v>951.94031847500014</v>
      </c>
      <c r="V18" s="128">
        <f>'Profit &amp; Loss'!V6*'Basic Parameters'!$E$46*'Basic Parameters'!$E$47*'Basic Parameters'!$E$48/10</f>
        <v>951.94031847500014</v>
      </c>
      <c r="W18" s="128">
        <f>'Profit &amp; Loss'!W6*'Basic Parameters'!$E$46*'Basic Parameters'!$E$47*'Basic Parameters'!$E$48/10</f>
        <v>951.94031847500014</v>
      </c>
      <c r="X18" s="129">
        <f>'Profit &amp; Loss'!X6*'Basic Parameters'!$E$46*'Basic Parameters'!$E$47*'Basic Parameters'!$E$48/10</f>
        <v>951.94031847500014</v>
      </c>
    </row>
    <row r="19" spans="1:24" ht="20.100000000000001" customHeight="1">
      <c r="A19" s="217">
        <v>4.0999999999999996</v>
      </c>
      <c r="B19" s="130" t="s">
        <v>112</v>
      </c>
      <c r="C19" s="130"/>
      <c r="D19" s="131">
        <f t="shared" ref="D19:X19" si="3">D16+D18</f>
        <v>-46901</v>
      </c>
      <c r="E19" s="131">
        <f t="shared" si="3"/>
        <v>6165.2979184749993</v>
      </c>
      <c r="F19" s="131">
        <f t="shared" si="3"/>
        <v>6300.2979184749993</v>
      </c>
      <c r="G19" s="131">
        <f t="shared" si="3"/>
        <v>6055.079718474999</v>
      </c>
      <c r="H19" s="131">
        <f t="shared" si="3"/>
        <v>6055.079718474999</v>
      </c>
      <c r="I19" s="131">
        <f t="shared" si="3"/>
        <v>6055.079718474999</v>
      </c>
      <c r="J19" s="131">
        <f t="shared" si="3"/>
        <v>5646.1420928339739</v>
      </c>
      <c r="K19" s="131">
        <f t="shared" si="3"/>
        <v>5438.7606142014956</v>
      </c>
      <c r="L19" s="131">
        <f t="shared" si="3"/>
        <v>5438.7606142014956</v>
      </c>
      <c r="M19" s="131">
        <f t="shared" si="3"/>
        <v>5438.7606142014956</v>
      </c>
      <c r="N19" s="131">
        <f t="shared" si="3"/>
        <v>5438.7606142014956</v>
      </c>
      <c r="O19" s="131">
        <f t="shared" si="3"/>
        <v>5078.1456142014958</v>
      </c>
      <c r="P19" s="131">
        <f t="shared" si="3"/>
        <v>4953.911773897581</v>
      </c>
      <c r="Q19" s="131">
        <f t="shared" si="3"/>
        <v>4886.1606066808226</v>
      </c>
      <c r="R19" s="131">
        <f t="shared" si="3"/>
        <v>4878.1548318672103</v>
      </c>
      <c r="S19" s="131">
        <f t="shared" si="3"/>
        <v>4869.815216243871</v>
      </c>
      <c r="T19" s="131">
        <f t="shared" si="3"/>
        <v>3894.2789553157054</v>
      </c>
      <c r="U19" s="131">
        <f t="shared" si="3"/>
        <v>3856.3403262201673</v>
      </c>
      <c r="V19" s="131">
        <f t="shared" si="3"/>
        <v>3842.3572902698716</v>
      </c>
      <c r="W19" s="131">
        <f t="shared" si="3"/>
        <v>3842.3572902698716</v>
      </c>
      <c r="X19" s="132">
        <f t="shared" si="3"/>
        <v>6381.4572902698701</v>
      </c>
    </row>
    <row r="20" spans="1:24" ht="20.100000000000001" customHeight="1">
      <c r="A20" s="218">
        <v>4.2</v>
      </c>
      <c r="B20" s="133" t="s">
        <v>113</v>
      </c>
      <c r="C20" s="133"/>
      <c r="D20" s="138">
        <f>IRR(D19:X19)</f>
        <v>0.10127129522971669</v>
      </c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5"/>
    </row>
    <row r="22" spans="1:24" ht="20.100000000000001" customHeight="1">
      <c r="G22" s="136" t="s">
        <v>124</v>
      </c>
    </row>
  </sheetData>
  <mergeCells count="6">
    <mergeCell ref="A1:X1"/>
    <mergeCell ref="A2:X2"/>
    <mergeCell ref="E3:X3"/>
    <mergeCell ref="A3:A4"/>
    <mergeCell ref="B3:B4"/>
    <mergeCell ref="C3:C4"/>
  </mergeCells>
  <phoneticPr fontId="29" type="noConversion"/>
  <pageMargins left="0.69861111111111107" right="0.69861111111111107" top="0.75" bottom="0.75" header="0.3" footer="0.3"/>
  <pageSetup paperSize="9" firstPageNumber="4294963191"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C2:R22"/>
  <sheetViews>
    <sheetView tabSelected="1" zoomScaleSheetLayoutView="100" workbookViewId="0">
      <selection activeCell="N25" sqref="N25"/>
    </sheetView>
  </sheetViews>
  <sheetFormatPr defaultRowHeight="20.100000000000001" customHeight="1"/>
  <cols>
    <col min="1" max="2" width="9" style="1" customWidth="1"/>
    <col min="3" max="3" width="25.875" style="1" customWidth="1"/>
    <col min="4" max="4" width="7.375" style="1" customWidth="1"/>
    <col min="5" max="5" width="7.5" style="1" customWidth="1"/>
    <col min="6" max="6" width="8" style="1" customWidth="1"/>
    <col min="7" max="7" width="8.375" style="1" customWidth="1"/>
    <col min="8" max="8" width="7.75" style="1" customWidth="1"/>
    <col min="9" max="9" width="7.875" style="1" customWidth="1"/>
    <col min="10" max="10" width="7.75" style="1" customWidth="1"/>
    <col min="11" max="11" width="8.375" style="1" customWidth="1"/>
    <col min="12" max="12" width="8" style="1" customWidth="1"/>
    <col min="13" max="13" width="14" style="1" customWidth="1"/>
    <col min="14" max="14" width="24.125" style="1" customWidth="1"/>
    <col min="15" max="15" width="24" style="1" customWidth="1"/>
    <col min="16" max="16" width="22.5" style="1" customWidth="1"/>
    <col min="17" max="17" width="16.5" style="1" customWidth="1"/>
    <col min="18" max="18" width="9" style="1" bestFit="1"/>
    <col min="19" max="16384" width="9" style="1"/>
  </cols>
  <sheetData>
    <row r="2" spans="3:18" ht="20.100000000000001" customHeight="1">
      <c r="C2" s="15" t="s">
        <v>114</v>
      </c>
      <c r="D2" s="16"/>
      <c r="E2" s="17">
        <f>'Total investment Cashflow'!D17</f>
        <v>7.2648323301185688E-2</v>
      </c>
      <c r="R2" s="1" t="s">
        <v>124</v>
      </c>
    </row>
    <row r="3" spans="3:18" ht="20.100000000000001" customHeight="1">
      <c r="C3" s="18" t="s">
        <v>115</v>
      </c>
      <c r="D3" s="19"/>
      <c r="E3" s="20">
        <f>'Total investment Cashflow'!D20</f>
        <v>0.10127129522971669</v>
      </c>
    </row>
    <row r="4" spans="3:18" ht="20.100000000000001" customHeight="1">
      <c r="E4" s="21"/>
    </row>
    <row r="5" spans="3:18" ht="20.100000000000001" customHeight="1">
      <c r="C5" s="203" t="s">
        <v>116</v>
      </c>
      <c r="D5" s="204"/>
      <c r="E5" s="204"/>
      <c r="F5" s="204"/>
      <c r="G5" s="204"/>
      <c r="H5" s="204"/>
      <c r="I5" s="204"/>
      <c r="J5" s="204"/>
      <c r="K5" s="204"/>
      <c r="L5" s="205"/>
      <c r="N5" s="203" t="s">
        <v>117</v>
      </c>
      <c r="O5" s="204"/>
      <c r="P5" s="204"/>
      <c r="Q5" s="205"/>
    </row>
    <row r="6" spans="3:18" ht="20.100000000000001" customHeight="1">
      <c r="C6" s="206"/>
      <c r="D6" s="207"/>
      <c r="E6" s="207"/>
      <c r="F6" s="207"/>
      <c r="G6" s="207"/>
      <c r="H6" s="207"/>
      <c r="I6" s="207"/>
      <c r="J6" s="207"/>
      <c r="K6" s="207"/>
      <c r="L6" s="208"/>
      <c r="N6" s="206"/>
      <c r="O6" s="207"/>
      <c r="P6" s="207"/>
      <c r="Q6" s="208"/>
    </row>
    <row r="7" spans="3:18" ht="20.100000000000001" customHeight="1">
      <c r="C7" s="51" t="s">
        <v>118</v>
      </c>
      <c r="D7" s="52">
        <v>-0.1</v>
      </c>
      <c r="E7" s="53">
        <v>-7.4999999999999997E-2</v>
      </c>
      <c r="F7" s="52">
        <v>-0.05</v>
      </c>
      <c r="G7" s="53">
        <v>-2.5000000000000001E-2</v>
      </c>
      <c r="H7" s="41">
        <v>0</v>
      </c>
      <c r="I7" s="53">
        <v>2.5000000000000001E-2</v>
      </c>
      <c r="J7" s="52">
        <v>0.05</v>
      </c>
      <c r="K7" s="53">
        <v>7.4999999999999997E-2</v>
      </c>
      <c r="L7" s="54">
        <v>0.1</v>
      </c>
      <c r="N7" s="40"/>
      <c r="O7" s="41" t="s">
        <v>119</v>
      </c>
      <c r="P7" s="41" t="s">
        <v>120</v>
      </c>
      <c r="Q7" s="42" t="s">
        <v>121</v>
      </c>
    </row>
    <row r="8" spans="3:18" ht="20.100000000000001" customHeight="1">
      <c r="C8" s="43" t="s">
        <v>129</v>
      </c>
      <c r="D8" s="46">
        <v>8.7599999999999997E-2</v>
      </c>
      <c r="E8" s="46">
        <v>8.4000000000000005E-2</v>
      </c>
      <c r="F8" s="46">
        <v>7.9899999999999999E-2</v>
      </c>
      <c r="G8" s="46">
        <v>7.6300000000000007E-2</v>
      </c>
      <c r="H8" s="46">
        <f>E2</f>
        <v>7.2648323301185688E-2</v>
      </c>
      <c r="I8" s="46">
        <v>6.9099999999999995E-2</v>
      </c>
      <c r="J8" s="46">
        <v>6.59E-2</v>
      </c>
      <c r="K8" s="46">
        <v>6.2700000000000006E-2</v>
      </c>
      <c r="L8" s="49">
        <v>5.9499999999999997E-2</v>
      </c>
      <c r="N8" s="43" t="s">
        <v>151</v>
      </c>
      <c r="O8" s="71">
        <v>1</v>
      </c>
      <c r="P8" s="71">
        <f>O8-1</f>
        <v>0</v>
      </c>
      <c r="Q8" s="60">
        <f>E2</f>
        <v>7.2648323301185688E-2</v>
      </c>
    </row>
    <row r="9" spans="3:18" ht="20.100000000000001" customHeight="1">
      <c r="C9" s="43" t="s">
        <v>130</v>
      </c>
      <c r="D9" s="46">
        <v>5.7700000000000001E-2</v>
      </c>
      <c r="E9" s="46">
        <v>6.1499999999999999E-2</v>
      </c>
      <c r="F9" s="46">
        <v>6.5299999999999997E-2</v>
      </c>
      <c r="G9" s="46">
        <v>6.8900000000000003E-2</v>
      </c>
      <c r="H9" s="46">
        <f>E2</f>
        <v>7.2648323301185688E-2</v>
      </c>
      <c r="I9" s="46">
        <v>7.6300000000000007E-2</v>
      </c>
      <c r="J9" s="46">
        <v>7.9799999999999996E-2</v>
      </c>
      <c r="K9" s="46">
        <v>8.3500000000000005E-2</v>
      </c>
      <c r="L9" s="49">
        <v>8.6900000000000005E-2</v>
      </c>
      <c r="N9" s="43" t="s">
        <v>128</v>
      </c>
      <c r="O9" s="71">
        <v>1</v>
      </c>
      <c r="P9" s="71">
        <f>O9-1</f>
        <v>0</v>
      </c>
      <c r="Q9" s="60">
        <f>E2</f>
        <v>7.2648323301185688E-2</v>
      </c>
    </row>
    <row r="10" spans="3:18" ht="20.100000000000001" customHeight="1">
      <c r="C10" s="43" t="s">
        <v>152</v>
      </c>
      <c r="D10" s="46">
        <v>5.6599999999999998E-2</v>
      </c>
      <c r="E10" s="46">
        <v>6.0499999999999998E-2</v>
      </c>
      <c r="F10" s="46">
        <v>6.4699999999999994E-2</v>
      </c>
      <c r="G10" s="46">
        <v>6.8599999999999994E-2</v>
      </c>
      <c r="H10" s="47">
        <f>E2</f>
        <v>7.2648323301185688E-2</v>
      </c>
      <c r="I10" s="46">
        <v>7.6600000000000001E-2</v>
      </c>
      <c r="J10" s="46">
        <v>8.0399999999999999E-2</v>
      </c>
      <c r="K10" s="46">
        <v>8.4400000000000003E-2</v>
      </c>
      <c r="L10" s="49">
        <v>8.77E-2</v>
      </c>
      <c r="N10" s="43" t="s">
        <v>131</v>
      </c>
      <c r="O10" s="71">
        <v>1</v>
      </c>
      <c r="P10" s="71">
        <f>O10-1</f>
        <v>0</v>
      </c>
      <c r="Q10" s="60">
        <f>E2</f>
        <v>7.2648323301185688E-2</v>
      </c>
    </row>
    <row r="11" spans="3:18" ht="20.100000000000001" customHeight="1">
      <c r="C11" s="44" t="s">
        <v>123</v>
      </c>
      <c r="D11" s="48">
        <v>7.6399999999999996E-2</v>
      </c>
      <c r="E11" s="48">
        <v>7.5499999999999998E-2</v>
      </c>
      <c r="F11" s="48">
        <v>7.46E-2</v>
      </c>
      <c r="G11" s="48">
        <v>7.3599999999999999E-2</v>
      </c>
      <c r="H11" s="48">
        <f>E2</f>
        <v>7.2648323301185688E-2</v>
      </c>
      <c r="I11" s="48">
        <v>7.17E-2</v>
      </c>
      <c r="J11" s="48">
        <v>7.0800000000000002E-2</v>
      </c>
      <c r="K11" s="48">
        <v>6.9800000000000001E-2</v>
      </c>
      <c r="L11" s="50">
        <v>6.88E-2</v>
      </c>
      <c r="N11" s="44" t="s">
        <v>132</v>
      </c>
      <c r="O11" s="70">
        <v>1</v>
      </c>
      <c r="P11" s="70">
        <f>O11-1</f>
        <v>0</v>
      </c>
      <c r="Q11" s="61">
        <f>E2</f>
        <v>7.2648323301185688E-2</v>
      </c>
    </row>
    <row r="14" spans="3:18" ht="20.100000000000001" customHeight="1">
      <c r="N14" s="209" t="s">
        <v>122</v>
      </c>
      <c r="O14" s="210"/>
      <c r="P14" s="210"/>
      <c r="Q14" s="211"/>
    </row>
    <row r="15" spans="3:18" ht="20.100000000000001" customHeight="1">
      <c r="N15" s="212"/>
      <c r="O15" s="213"/>
      <c r="P15" s="213"/>
      <c r="Q15" s="214"/>
    </row>
    <row r="16" spans="3:18" ht="20.100000000000001" customHeight="1">
      <c r="N16" s="77" t="s">
        <v>129</v>
      </c>
      <c r="O16" s="45" t="s">
        <v>128</v>
      </c>
      <c r="P16" s="45" t="s">
        <v>131</v>
      </c>
      <c r="Q16" s="78" t="s">
        <v>132</v>
      </c>
    </row>
    <row r="17" spans="14:17" ht="20.100000000000001" customHeight="1">
      <c r="N17" s="151">
        <v>-5.0200000000000002E-2</v>
      </c>
      <c r="O17" s="70">
        <v>5.0999999999999997E-2</v>
      </c>
      <c r="P17" s="70">
        <v>4.7399999999999998E-2</v>
      </c>
      <c r="Q17" s="50">
        <v>-0.19639999999999999</v>
      </c>
    </row>
    <row r="18" spans="14:17" ht="20.100000000000001" customHeight="1">
      <c r="N18" s="21"/>
      <c r="O18" s="21"/>
      <c r="P18" s="21"/>
      <c r="Q18" s="21"/>
    </row>
    <row r="21" spans="14:17" ht="20.100000000000001" customHeight="1">
      <c r="N21" s="21"/>
    </row>
    <row r="22" spans="14:17" ht="20.100000000000001" customHeight="1">
      <c r="Q22" s="1" t="s">
        <v>124</v>
      </c>
    </row>
  </sheetData>
  <mergeCells count="3">
    <mergeCell ref="N5:Q6"/>
    <mergeCell ref="C5:L6"/>
    <mergeCell ref="N14:Q15"/>
  </mergeCells>
  <phoneticPr fontId="29" type="noConversion"/>
  <pageMargins left="0.69861111111111107" right="0.69861111111111107" top="0.75" bottom="0.75" header="0.3" footer="0.3"/>
  <pageSetup paperSize="9" firstPageNumber="4294963191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 Parameters</vt:lpstr>
      <vt:lpstr>Total Cost &amp; Expenses</vt:lpstr>
      <vt:lpstr>Loan &amp; Payment</vt:lpstr>
      <vt:lpstr>Profit &amp; Loss</vt:lpstr>
      <vt:lpstr>Total investment Cashflow</vt:lpstr>
      <vt:lpstr>Sensitivity Analysis</vt:lpstr>
    </vt:vector>
  </TitlesOfParts>
  <Company>yandlsd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yandlsd</dc:creator>
  <cp:lastModifiedBy>Sophia</cp:lastModifiedBy>
  <cp:revision/>
  <cp:lastPrinted>1899-12-30T00:00:00Z</cp:lastPrinted>
  <dcterms:created xsi:type="dcterms:W3CDTF">2006-09-13T11:21:51Z</dcterms:created>
  <dcterms:modified xsi:type="dcterms:W3CDTF">2012-12-18T01:56:16Z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