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-15" yWindow="-15" windowWidth="19260" windowHeight="4215"/>
  </bookViews>
  <sheets>
    <sheet name="Parameters" sheetId="1" r:id="rId1"/>
    <sheet name="IRR" sheetId="2" r:id="rId2"/>
    <sheet name="Sensitivity" sheetId="4" r:id="rId3"/>
  </sheets>
  <calcPr calcId="125725"/>
</workbook>
</file>

<file path=xl/calcChain.xml><?xml version="1.0" encoding="utf-8"?>
<calcChain xmlns="http://schemas.openxmlformats.org/spreadsheetml/2006/main">
  <c r="D57" i="1"/>
  <c r="D54"/>
  <c r="D55"/>
  <c r="D53"/>
  <c r="D35"/>
  <c r="D13"/>
  <c r="D23"/>
  <c r="D7"/>
  <c r="D8" l="1"/>
  <c r="D26"/>
  <c r="H7" i="2"/>
  <c r="D24" i="1"/>
  <c r="D28" s="1"/>
  <c r="D27" l="1"/>
  <c r="D22" s="1"/>
  <c r="D21" s="1"/>
  <c r="R25" i="2"/>
  <c r="J25"/>
  <c r="W5"/>
  <c r="S5"/>
  <c r="L25"/>
  <c r="H25"/>
  <c r="Y5"/>
  <c r="U5"/>
  <c r="Q5"/>
  <c r="O5"/>
  <c r="M5"/>
  <c r="K5"/>
  <c r="I5"/>
  <c r="G5"/>
  <c r="Y7"/>
  <c r="W7"/>
  <c r="U7"/>
  <c r="S7"/>
  <c r="Q7"/>
  <c r="O7"/>
  <c r="M7"/>
  <c r="K7"/>
  <c r="I7"/>
  <c r="G7"/>
  <c r="S25"/>
  <c r="Q25"/>
  <c r="O25"/>
  <c r="M25"/>
  <c r="K25"/>
  <c r="I25"/>
  <c r="G25"/>
  <c r="F5"/>
  <c r="X5"/>
  <c r="V5"/>
  <c r="T5"/>
  <c r="R5"/>
  <c r="P5"/>
  <c r="N5"/>
  <c r="L5"/>
  <c r="J5"/>
  <c r="H5"/>
  <c r="F7"/>
  <c r="X7"/>
  <c r="V7"/>
  <c r="T7"/>
  <c r="R7"/>
  <c r="P7"/>
  <c r="N7"/>
  <c r="L7"/>
  <c r="J7"/>
  <c r="P25" l="1"/>
  <c r="N25"/>
  <c r="F25"/>
  <c r="T25"/>
  <c r="D9" i="1"/>
  <c r="E22" i="2" l="1"/>
  <c r="E23" s="1"/>
  <c r="F21" s="1"/>
  <c r="N4" i="4"/>
  <c r="N7"/>
  <c r="N6"/>
  <c r="N5"/>
  <c r="F20" i="2" l="1"/>
  <c r="F45"/>
  <c r="F46"/>
  <c r="F47"/>
  <c r="F48"/>
  <c r="F49"/>
  <c r="F19" l="1"/>
  <c r="F23" s="1"/>
  <c r="F26" s="1"/>
  <c r="F24" s="1"/>
  <c r="I9" l="1"/>
  <c r="H9"/>
  <c r="G9"/>
  <c r="F9"/>
  <c r="F75" l="1"/>
  <c r="X75"/>
  <c r="V75"/>
  <c r="T75"/>
  <c r="R75"/>
  <c r="P75"/>
  <c r="N75"/>
  <c r="L75"/>
  <c r="J75"/>
  <c r="H75"/>
  <c r="Y75"/>
  <c r="W75"/>
  <c r="U75"/>
  <c r="S75"/>
  <c r="Q75"/>
  <c r="O75"/>
  <c r="M75"/>
  <c r="K75"/>
  <c r="I75"/>
  <c r="G75"/>
  <c r="Y65"/>
  <c r="D65" s="1"/>
  <c r="E68" l="1"/>
  <c r="E67" s="1"/>
  <c r="E61"/>
  <c r="E73" l="1"/>
  <c r="D68"/>
  <c r="F34"/>
  <c r="J9"/>
  <c r="K9"/>
  <c r="L9"/>
  <c r="M9"/>
  <c r="N9"/>
  <c r="O9"/>
  <c r="P9"/>
  <c r="Q9"/>
  <c r="R9"/>
  <c r="S9"/>
  <c r="T9"/>
  <c r="U9"/>
  <c r="V9"/>
  <c r="W9"/>
  <c r="X9"/>
  <c r="Y9"/>
  <c r="F35" l="1"/>
  <c r="F36" l="1"/>
  <c r="F63" s="1"/>
  <c r="E76"/>
  <c r="D19" i="1"/>
  <c r="G10" i="2" s="1"/>
  <c r="I10" l="1"/>
  <c r="N10"/>
  <c r="R10"/>
  <c r="H10"/>
  <c r="L10"/>
  <c r="Q10"/>
  <c r="F10"/>
  <c r="M10"/>
  <c r="K10"/>
  <c r="P10"/>
  <c r="T10"/>
  <c r="J10"/>
  <c r="O10"/>
  <c r="S10"/>
  <c r="F37"/>
  <c r="Y8"/>
  <c r="F41" l="1"/>
  <c r="F42"/>
  <c r="F38"/>
  <c r="F64" s="1"/>
  <c r="G34"/>
  <c r="H34"/>
  <c r="I34"/>
  <c r="J34"/>
  <c r="K34"/>
  <c r="L34"/>
  <c r="M34"/>
  <c r="N34"/>
  <c r="O34"/>
  <c r="P34"/>
  <c r="Q34"/>
  <c r="R34"/>
  <c r="S34"/>
  <c r="T34"/>
  <c r="U34"/>
  <c r="V34"/>
  <c r="W34"/>
  <c r="X34"/>
  <c r="Y34"/>
  <c r="F39" l="1"/>
  <c r="F32"/>
  <c r="F31" s="1"/>
  <c r="D34"/>
  <c r="G32"/>
  <c r="H32"/>
  <c r="J32"/>
  <c r="L32"/>
  <c r="N32"/>
  <c r="P32"/>
  <c r="R32"/>
  <c r="T32"/>
  <c r="V32"/>
  <c r="X32"/>
  <c r="I32"/>
  <c r="K32"/>
  <c r="M32"/>
  <c r="O32"/>
  <c r="Q32"/>
  <c r="S32"/>
  <c r="U32"/>
  <c r="W32"/>
  <c r="Y32"/>
  <c r="G35"/>
  <c r="F62" l="1"/>
  <c r="F61" s="1"/>
  <c r="Y62"/>
  <c r="U62"/>
  <c r="Q62"/>
  <c r="M62"/>
  <c r="I62"/>
  <c r="V62"/>
  <c r="R62"/>
  <c r="N62"/>
  <c r="G62"/>
  <c r="D32"/>
  <c r="G36"/>
  <c r="G63" s="1"/>
  <c r="W62"/>
  <c r="S62"/>
  <c r="O62"/>
  <c r="K62"/>
  <c r="X62"/>
  <c r="T62"/>
  <c r="P62"/>
  <c r="L62"/>
  <c r="H62"/>
  <c r="J62"/>
  <c r="H35"/>
  <c r="G8"/>
  <c r="H8"/>
  <c r="I8"/>
  <c r="J8"/>
  <c r="K8"/>
  <c r="L8"/>
  <c r="M8"/>
  <c r="N8"/>
  <c r="O8"/>
  <c r="P8"/>
  <c r="Q8"/>
  <c r="R8"/>
  <c r="S8"/>
  <c r="T8"/>
  <c r="U8"/>
  <c r="V8"/>
  <c r="W8"/>
  <c r="X8"/>
  <c r="F8"/>
  <c r="F69"/>
  <c r="D69" s="1"/>
  <c r="F11" l="1"/>
  <c r="G37"/>
  <c r="D62"/>
  <c r="I35"/>
  <c r="I36" s="1"/>
  <c r="I63" s="1"/>
  <c r="H36"/>
  <c r="H63" s="1"/>
  <c r="G38"/>
  <c r="G31" s="1"/>
  <c r="H6"/>
  <c r="Y6"/>
  <c r="Y66"/>
  <c r="D66" s="1"/>
  <c r="F6"/>
  <c r="X6"/>
  <c r="V6"/>
  <c r="T6"/>
  <c r="R6"/>
  <c r="P6"/>
  <c r="N6"/>
  <c r="L6"/>
  <c r="J6"/>
  <c r="W6"/>
  <c r="U6"/>
  <c r="S6"/>
  <c r="Q6"/>
  <c r="O6"/>
  <c r="M6"/>
  <c r="K6"/>
  <c r="I6"/>
  <c r="G6"/>
  <c r="D21"/>
  <c r="D22"/>
  <c r="G42" l="1"/>
  <c r="G39"/>
  <c r="F13"/>
  <c r="F12"/>
  <c r="F70" s="1"/>
  <c r="G12"/>
  <c r="G70" s="1"/>
  <c r="G41"/>
  <c r="J35"/>
  <c r="J36" s="1"/>
  <c r="J63" s="1"/>
  <c r="G64"/>
  <c r="I37"/>
  <c r="H37"/>
  <c r="H12"/>
  <c r="D6"/>
  <c r="I38" l="1"/>
  <c r="I39"/>
  <c r="I64"/>
  <c r="I61" s="1"/>
  <c r="I31"/>
  <c r="K35"/>
  <c r="L35" s="1"/>
  <c r="F43"/>
  <c r="I41"/>
  <c r="H38"/>
  <c r="H31" s="1"/>
  <c r="G61"/>
  <c r="H41"/>
  <c r="H42"/>
  <c r="J37"/>
  <c r="I42"/>
  <c r="I12"/>
  <c r="H70"/>
  <c r="H39" l="1"/>
  <c r="K36"/>
  <c r="K63" s="1"/>
  <c r="I40"/>
  <c r="H64"/>
  <c r="M35"/>
  <c r="L36"/>
  <c r="L63" s="1"/>
  <c r="J42"/>
  <c r="J38"/>
  <c r="J39" s="1"/>
  <c r="J41"/>
  <c r="I33"/>
  <c r="J12"/>
  <c r="I70"/>
  <c r="J64" l="1"/>
  <c r="J61" s="1"/>
  <c r="J31"/>
  <c r="K37"/>
  <c r="K41" s="1"/>
  <c r="J40"/>
  <c r="J71" s="1"/>
  <c r="H61"/>
  <c r="J33"/>
  <c r="L37"/>
  <c r="N35"/>
  <c r="M36"/>
  <c r="M63" s="1"/>
  <c r="K12"/>
  <c r="J70"/>
  <c r="K42" l="1"/>
  <c r="K38"/>
  <c r="K31" s="1"/>
  <c r="K40"/>
  <c r="K71" s="1"/>
  <c r="O35"/>
  <c r="N36"/>
  <c r="N63" s="1"/>
  <c r="M37"/>
  <c r="L42"/>
  <c r="L41"/>
  <c r="L38"/>
  <c r="L31" s="1"/>
  <c r="J67"/>
  <c r="L12"/>
  <c r="K70"/>
  <c r="K39" l="1"/>
  <c r="K33" s="1"/>
  <c r="K64"/>
  <c r="L64"/>
  <c r="L61" s="1"/>
  <c r="K61"/>
  <c r="P35"/>
  <c r="O36"/>
  <c r="L39"/>
  <c r="L33" s="1"/>
  <c r="L40"/>
  <c r="L71" s="1"/>
  <c r="M41"/>
  <c r="M38"/>
  <c r="M31" s="1"/>
  <c r="M42"/>
  <c r="N37"/>
  <c r="K67"/>
  <c r="M12"/>
  <c r="L70"/>
  <c r="I71"/>
  <c r="I67" s="1"/>
  <c r="D9"/>
  <c r="D7"/>
  <c r="D8"/>
  <c r="M64" l="1"/>
  <c r="M61" s="1"/>
  <c r="L67"/>
  <c r="M39"/>
  <c r="M33" s="1"/>
  <c r="Q35"/>
  <c r="P36"/>
  <c r="M40"/>
  <c r="M71" s="1"/>
  <c r="N42"/>
  <c r="N38"/>
  <c r="N41"/>
  <c r="O37"/>
  <c r="N12"/>
  <c r="M70"/>
  <c r="N39" l="1"/>
  <c r="N33" s="1"/>
  <c r="N31"/>
  <c r="N40"/>
  <c r="N71" s="1"/>
  <c r="N64"/>
  <c r="N61" s="1"/>
  <c r="M67"/>
  <c r="O41"/>
  <c r="O42"/>
  <c r="O38"/>
  <c r="O31" s="1"/>
  <c r="R35"/>
  <c r="Q36"/>
  <c r="P63"/>
  <c r="P37"/>
  <c r="O12"/>
  <c r="N70"/>
  <c r="N67" l="1"/>
  <c r="O64"/>
  <c r="O61" s="1"/>
  <c r="O39"/>
  <c r="O33" s="1"/>
  <c r="S35"/>
  <c r="R36"/>
  <c r="O40"/>
  <c r="O71" s="1"/>
  <c r="P42"/>
  <c r="P41"/>
  <c r="P38"/>
  <c r="P31" s="1"/>
  <c r="Q63"/>
  <c r="Q37"/>
  <c r="P12"/>
  <c r="O70"/>
  <c r="O67" l="1"/>
  <c r="P64"/>
  <c r="P61" s="1"/>
  <c r="Q41"/>
  <c r="Q38"/>
  <c r="Q42"/>
  <c r="T35"/>
  <c r="S36"/>
  <c r="P39"/>
  <c r="P33" s="1"/>
  <c r="P40"/>
  <c r="P71" s="1"/>
  <c r="R63"/>
  <c r="R37"/>
  <c r="D10"/>
  <c r="Q12"/>
  <c r="P70"/>
  <c r="Q39" l="1"/>
  <c r="Q33" s="1"/>
  <c r="Q31"/>
  <c r="Q64"/>
  <c r="Q61" s="1"/>
  <c r="R42"/>
  <c r="R41"/>
  <c r="R38"/>
  <c r="R31" s="1"/>
  <c r="U35"/>
  <c r="T36"/>
  <c r="P67"/>
  <c r="Q40"/>
  <c r="Q71" s="1"/>
  <c r="S63"/>
  <c r="S37"/>
  <c r="R12"/>
  <c r="Q70"/>
  <c r="R64" l="1"/>
  <c r="R61" s="1"/>
  <c r="R39"/>
  <c r="R33" s="1"/>
  <c r="R40"/>
  <c r="R71" s="1"/>
  <c r="Q67"/>
  <c r="V35"/>
  <c r="U36"/>
  <c r="S42"/>
  <c r="S41"/>
  <c r="S38"/>
  <c r="S31" s="1"/>
  <c r="T63"/>
  <c r="T37"/>
  <c r="S12"/>
  <c r="R70"/>
  <c r="S64" l="1"/>
  <c r="S61" s="1"/>
  <c r="R67"/>
  <c r="S39"/>
  <c r="S33" s="1"/>
  <c r="S40"/>
  <c r="S71" s="1"/>
  <c r="T42"/>
  <c r="T38"/>
  <c r="T41"/>
  <c r="W35"/>
  <c r="V36"/>
  <c r="U63"/>
  <c r="U37"/>
  <c r="S70"/>
  <c r="T39" l="1"/>
  <c r="T33" s="1"/>
  <c r="T31"/>
  <c r="T12"/>
  <c r="T70" s="1"/>
  <c r="T40"/>
  <c r="T71" s="1"/>
  <c r="T64"/>
  <c r="T61" s="1"/>
  <c r="S67"/>
  <c r="U41"/>
  <c r="U38"/>
  <c r="U42"/>
  <c r="X35"/>
  <c r="W36"/>
  <c r="V63"/>
  <c r="V37"/>
  <c r="U39" l="1"/>
  <c r="U33" s="1"/>
  <c r="U31"/>
  <c r="U12"/>
  <c r="U70" s="1"/>
  <c r="T67"/>
  <c r="U64"/>
  <c r="U61" s="1"/>
  <c r="V42"/>
  <c r="V38"/>
  <c r="V41"/>
  <c r="Y35"/>
  <c r="X36"/>
  <c r="U40"/>
  <c r="U71" s="1"/>
  <c r="W63"/>
  <c r="W37"/>
  <c r="V39" l="1"/>
  <c r="V33" s="1"/>
  <c r="V31"/>
  <c r="V40"/>
  <c r="V71" s="1"/>
  <c r="V12"/>
  <c r="V70" s="1"/>
  <c r="V64"/>
  <c r="V61" s="1"/>
  <c r="Y36"/>
  <c r="Y37" s="1"/>
  <c r="D35"/>
  <c r="U67"/>
  <c r="W42"/>
  <c r="W41"/>
  <c r="W38"/>
  <c r="W31" s="1"/>
  <c r="X63"/>
  <c r="X37"/>
  <c r="V67" l="1"/>
  <c r="W12"/>
  <c r="W70" s="1"/>
  <c r="W64"/>
  <c r="W61" s="1"/>
  <c r="Y63"/>
  <c r="D36"/>
  <c r="D37"/>
  <c r="W39"/>
  <c r="W33" s="1"/>
  <c r="W40"/>
  <c r="W71" s="1"/>
  <c r="X42"/>
  <c r="X41"/>
  <c r="X38"/>
  <c r="X31" s="1"/>
  <c r="Y41"/>
  <c r="D41" s="1"/>
  <c r="Y38"/>
  <c r="Y42"/>
  <c r="D20"/>
  <c r="Y39" l="1"/>
  <c r="Y33" s="1"/>
  <c r="Y31"/>
  <c r="X12"/>
  <c r="X70" s="1"/>
  <c r="D42"/>
  <c r="W67"/>
  <c r="Y64"/>
  <c r="Y61" s="1"/>
  <c r="D38"/>
  <c r="X64"/>
  <c r="X61" s="1"/>
  <c r="D63"/>
  <c r="Y40"/>
  <c r="Y71" s="1"/>
  <c r="X39"/>
  <c r="X33" s="1"/>
  <c r="X40"/>
  <c r="X71" s="1"/>
  <c r="X67" l="1"/>
  <c r="Y12"/>
  <c r="D61"/>
  <c r="D31"/>
  <c r="D64"/>
  <c r="D5"/>
  <c r="D12" l="1"/>
  <c r="Y70"/>
  <c r="Y67" l="1"/>
  <c r="D70"/>
  <c r="F33"/>
  <c r="G33" l="1"/>
  <c r="F40" l="1"/>
  <c r="F71" s="1"/>
  <c r="F67" s="1"/>
  <c r="H33" l="1"/>
  <c r="D33" s="1"/>
  <c r="D39"/>
  <c r="G40"/>
  <c r="G71" l="1"/>
  <c r="G67" s="1"/>
  <c r="H40"/>
  <c r="D40" s="1"/>
  <c r="H71" l="1"/>
  <c r="H67" s="1"/>
  <c r="D67" l="1"/>
  <c r="D71"/>
  <c r="F44" l="1"/>
  <c r="F50" l="1"/>
  <c r="F51" s="1"/>
  <c r="F52" s="1"/>
  <c r="G45"/>
  <c r="G46"/>
  <c r="G47"/>
  <c r="G48"/>
  <c r="G49"/>
  <c r="F72" l="1"/>
  <c r="F73" s="1"/>
  <c r="F53"/>
  <c r="F54" s="1"/>
  <c r="F55" l="1"/>
  <c r="F76"/>
  <c r="G19" l="1"/>
  <c r="G23" s="1"/>
  <c r="G26" l="1"/>
  <c r="G11" l="1"/>
  <c r="G13" s="1"/>
  <c r="G43" s="1"/>
  <c r="G44" s="1"/>
  <c r="G50" l="1"/>
  <c r="G51" s="1"/>
  <c r="G52" s="1"/>
  <c r="G53" s="1"/>
  <c r="H49"/>
  <c r="H45"/>
  <c r="H48"/>
  <c r="H46"/>
  <c r="H47"/>
  <c r="G54" l="1"/>
  <c r="G55" s="1"/>
  <c r="G72"/>
  <c r="G73" l="1"/>
  <c r="G76" s="1"/>
  <c r="H19"/>
  <c r="H23" s="1"/>
  <c r="H26" s="1"/>
  <c r="G24"/>
  <c r="H11" l="1"/>
  <c r="H13" s="1"/>
  <c r="H43" l="1"/>
  <c r="H44" s="1"/>
  <c r="H50" l="1"/>
  <c r="H51" s="1"/>
  <c r="H52" s="1"/>
  <c r="H72" s="1"/>
  <c r="I47"/>
  <c r="I46"/>
  <c r="I49"/>
  <c r="I45"/>
  <c r="I48"/>
  <c r="H73" l="1"/>
  <c r="H76" s="1"/>
  <c r="H53"/>
  <c r="H54" l="1"/>
  <c r="H55" s="1"/>
  <c r="I19"/>
  <c r="I23" s="1"/>
  <c r="H24"/>
  <c r="I26" l="1"/>
  <c r="I11" s="1"/>
  <c r="I13" s="1"/>
  <c r="I43" s="1"/>
  <c r="I44" s="1"/>
  <c r="J48" l="1"/>
  <c r="J47"/>
  <c r="J45"/>
  <c r="I50"/>
  <c r="I51" s="1"/>
  <c r="I52" s="1"/>
  <c r="I53" s="1"/>
  <c r="J46"/>
  <c r="J49"/>
  <c r="I54" l="1"/>
  <c r="I55" s="1"/>
  <c r="I72"/>
  <c r="I73" l="1"/>
  <c r="I76" s="1"/>
  <c r="J19"/>
  <c r="J23" s="1"/>
  <c r="I24"/>
  <c r="J26" l="1"/>
  <c r="J11" s="1"/>
  <c r="J13" s="1"/>
  <c r="J43" s="1"/>
  <c r="J44" s="1"/>
  <c r="K48" l="1"/>
  <c r="J50"/>
  <c r="J51" s="1"/>
  <c r="J52" s="1"/>
  <c r="J53" s="1"/>
  <c r="K46"/>
  <c r="K45"/>
  <c r="K47"/>
  <c r="K49"/>
  <c r="J54" l="1"/>
  <c r="J55" s="1"/>
  <c r="J72"/>
  <c r="J73" l="1"/>
  <c r="J76" s="1"/>
  <c r="K19"/>
  <c r="K23" s="1"/>
  <c r="K26" s="1"/>
  <c r="J24"/>
  <c r="K11" l="1"/>
  <c r="K13" s="1"/>
  <c r="K43" l="1"/>
  <c r="K44" s="1"/>
  <c r="K50" l="1"/>
  <c r="K51" s="1"/>
  <c r="K52" s="1"/>
  <c r="L45"/>
  <c r="L47"/>
  <c r="L46"/>
  <c r="L48"/>
  <c r="L49"/>
  <c r="K53" l="1"/>
  <c r="K72"/>
  <c r="K54" l="1"/>
  <c r="K55" s="1"/>
  <c r="K73"/>
  <c r="K76" s="1"/>
  <c r="L19"/>
  <c r="L23" s="1"/>
  <c r="L26" s="1"/>
  <c r="K24"/>
  <c r="L11" l="1"/>
  <c r="L13" s="1"/>
  <c r="L43" l="1"/>
  <c r="L44" s="1"/>
  <c r="M48" l="1"/>
  <c r="M49"/>
  <c r="L50"/>
  <c r="L51" s="1"/>
  <c r="L52" s="1"/>
  <c r="L72" s="1"/>
  <c r="M45"/>
  <c r="M47"/>
  <c r="M46"/>
  <c r="L73" l="1"/>
  <c r="L76" s="1"/>
  <c r="L53"/>
  <c r="L54" l="1"/>
  <c r="L55" s="1"/>
  <c r="L24" s="1"/>
  <c r="M19"/>
  <c r="M23" s="1"/>
  <c r="M26" l="1"/>
  <c r="M11" s="1"/>
  <c r="M13" s="1"/>
  <c r="M43" s="1"/>
  <c r="M44" s="1"/>
  <c r="N48" l="1"/>
  <c r="M50"/>
  <c r="M51" s="1"/>
  <c r="M52" s="1"/>
  <c r="N49"/>
  <c r="N47"/>
  <c r="N46"/>
  <c r="N45"/>
  <c r="M53" l="1"/>
  <c r="M72"/>
  <c r="M54" l="1"/>
  <c r="M55" s="1"/>
  <c r="M73"/>
  <c r="M76" s="1"/>
  <c r="N19"/>
  <c r="N23" s="1"/>
  <c r="N26" s="1"/>
  <c r="M24"/>
  <c r="N11" l="1"/>
  <c r="N13" s="1"/>
  <c r="N43" l="1"/>
  <c r="N44" s="1"/>
  <c r="O49" l="1"/>
  <c r="O46"/>
  <c r="O47"/>
  <c r="O45"/>
  <c r="O48"/>
  <c r="N50"/>
  <c r="N51" s="1"/>
  <c r="N52" s="1"/>
  <c r="N72" s="1"/>
  <c r="N73" l="1"/>
  <c r="N76" s="1"/>
  <c r="N53"/>
  <c r="N54" l="1"/>
  <c r="N55" s="1"/>
  <c r="N24"/>
  <c r="O19"/>
  <c r="O23" s="1"/>
  <c r="O26" s="1"/>
  <c r="O11" l="1"/>
  <c r="O13" s="1"/>
  <c r="O43" l="1"/>
  <c r="O44" s="1"/>
  <c r="P49" l="1"/>
  <c r="P48"/>
  <c r="P45"/>
  <c r="P47"/>
  <c r="O50"/>
  <c r="O51" s="1"/>
  <c r="O52" s="1"/>
  <c r="O72" s="1"/>
  <c r="P46"/>
  <c r="O73" l="1"/>
  <c r="O76" s="1"/>
  <c r="O53"/>
  <c r="O54" l="1"/>
  <c r="O55" s="1"/>
  <c r="P19" s="1"/>
  <c r="P23" s="1"/>
  <c r="P26" s="1"/>
  <c r="P11" s="1"/>
  <c r="P13" s="1"/>
  <c r="O24"/>
  <c r="P43" l="1"/>
  <c r="P44" s="1"/>
  <c r="Q46" l="1"/>
  <c r="P50"/>
  <c r="P51" s="1"/>
  <c r="P52" s="1"/>
  <c r="P72" s="1"/>
  <c r="Q49"/>
  <c r="Q45"/>
  <c r="Q47"/>
  <c r="Q48"/>
  <c r="P73" l="1"/>
  <c r="P76" s="1"/>
  <c r="P53"/>
  <c r="P54" l="1"/>
  <c r="P55" s="1"/>
  <c r="Q19"/>
  <c r="Q23" s="1"/>
  <c r="Q26" s="1"/>
  <c r="P24"/>
  <c r="Q11" l="1"/>
  <c r="Q13" s="1"/>
  <c r="Q43" l="1"/>
  <c r="Q44" s="1"/>
  <c r="R46" l="1"/>
  <c r="R48"/>
  <c r="R49"/>
  <c r="R47"/>
  <c r="R45"/>
  <c r="Q50"/>
  <c r="Q51" s="1"/>
  <c r="Q52" s="1"/>
  <c r="Q72" s="1"/>
  <c r="Q73" l="1"/>
  <c r="Q76" s="1"/>
  <c r="Q53"/>
  <c r="U11"/>
  <c r="U13" s="1"/>
  <c r="Q54" l="1"/>
  <c r="Q55" s="1"/>
  <c r="R19"/>
  <c r="R23" s="1"/>
  <c r="R26" s="1"/>
  <c r="Q24"/>
  <c r="U43"/>
  <c r="U44" s="1"/>
  <c r="R11" l="1"/>
  <c r="R13" s="1"/>
  <c r="V49"/>
  <c r="R43" l="1"/>
  <c r="R44" s="1"/>
  <c r="S45" l="1"/>
  <c r="S47"/>
  <c r="S46"/>
  <c r="S49"/>
  <c r="S48"/>
  <c r="R50"/>
  <c r="R51" s="1"/>
  <c r="R52" s="1"/>
  <c r="R72" s="1"/>
  <c r="R73" l="1"/>
  <c r="R76" s="1"/>
  <c r="R53"/>
  <c r="R54" l="1"/>
  <c r="R55" s="1"/>
  <c r="R24" s="1"/>
  <c r="S19"/>
  <c r="V11"/>
  <c r="V13" s="1"/>
  <c r="S23" l="1"/>
  <c r="S26" s="1"/>
  <c r="S11" s="1"/>
  <c r="S13" s="1"/>
  <c r="S43" s="1"/>
  <c r="S44" s="1"/>
  <c r="T19"/>
  <c r="T23" s="1"/>
  <c r="T26" s="1"/>
  <c r="T24" l="1"/>
  <c r="T11"/>
  <c r="T13" s="1"/>
  <c r="T43" s="1"/>
  <c r="T44" s="1"/>
  <c r="U49" s="1"/>
  <c r="S50"/>
  <c r="S51" s="1"/>
  <c r="S52" s="1"/>
  <c r="S72" s="1"/>
  <c r="T45"/>
  <c r="T47"/>
  <c r="T46"/>
  <c r="T48"/>
  <c r="T49"/>
  <c r="V43"/>
  <c r="S73" l="1"/>
  <c r="S76" s="1"/>
  <c r="U48"/>
  <c r="U45"/>
  <c r="U46"/>
  <c r="U47"/>
  <c r="T50"/>
  <c r="T51" s="1"/>
  <c r="T52" s="1"/>
  <c r="S53"/>
  <c r="V44"/>
  <c r="S54" l="1"/>
  <c r="S55" s="1"/>
  <c r="S24" s="1"/>
  <c r="T53"/>
  <c r="T54" s="1"/>
  <c r="T72"/>
  <c r="V45"/>
  <c r="U50"/>
  <c r="U51" s="1"/>
  <c r="U52" s="1"/>
  <c r="V46"/>
  <c r="V48"/>
  <c r="V47"/>
  <c r="W49"/>
  <c r="W46" l="1"/>
  <c r="T73"/>
  <c r="T76" s="1"/>
  <c r="W45"/>
  <c r="V50"/>
  <c r="V51" s="1"/>
  <c r="V52" s="1"/>
  <c r="W47"/>
  <c r="W48"/>
  <c r="T55"/>
  <c r="U72"/>
  <c r="U53"/>
  <c r="U54" l="1"/>
  <c r="U55" s="1"/>
  <c r="U73"/>
  <c r="U76" s="1"/>
  <c r="V72"/>
  <c r="V53"/>
  <c r="V54" s="1"/>
  <c r="V73" l="1"/>
  <c r="V76" s="1"/>
  <c r="V55"/>
  <c r="W11" l="1"/>
  <c r="W13" s="1"/>
  <c r="W43" l="1"/>
  <c r="W44" l="1"/>
  <c r="W50" l="1"/>
  <c r="W51" s="1"/>
  <c r="X49"/>
  <c r="X46"/>
  <c r="X47"/>
  <c r="X48"/>
  <c r="X45"/>
  <c r="W52" l="1"/>
  <c r="W53" l="1"/>
  <c r="W54" s="1"/>
  <c r="W72"/>
  <c r="W73" l="1"/>
  <c r="W76" s="1"/>
  <c r="W55" l="1"/>
  <c r="X11" l="1"/>
  <c r="X13" s="1"/>
  <c r="X43" l="1"/>
  <c r="X44" l="1"/>
  <c r="X50" l="1"/>
  <c r="X51" s="1"/>
  <c r="Y49"/>
  <c r="Y46"/>
  <c r="Y47"/>
  <c r="Y48"/>
  <c r="Y45"/>
  <c r="X52" l="1"/>
  <c r="X53" l="1"/>
  <c r="X54" s="1"/>
  <c r="X72"/>
  <c r="X73" l="1"/>
  <c r="X76" s="1"/>
  <c r="X55" l="1"/>
  <c r="D19" l="1"/>
  <c r="D23" l="1"/>
  <c r="Y11" l="1"/>
  <c r="Y13" s="1"/>
  <c r="D26"/>
  <c r="D11" l="1"/>
  <c r="Y43" l="1"/>
  <c r="D13"/>
  <c r="Y44" l="1"/>
  <c r="Y50" s="1"/>
  <c r="Y51" s="1"/>
  <c r="D43"/>
  <c r="Y52" l="1"/>
  <c r="D44"/>
  <c r="Y72" l="1"/>
  <c r="Y73" s="1"/>
  <c r="Y53" l="1"/>
  <c r="Y54" s="1"/>
  <c r="D52"/>
  <c r="D72" l="1"/>
  <c r="D53"/>
  <c r="Y76" l="1"/>
  <c r="D77" s="1"/>
  <c r="D74"/>
  <c r="D73"/>
  <c r="Y55"/>
  <c r="D54"/>
  <c r="I4" i="1" l="1"/>
  <c r="O4" i="4"/>
  <c r="D55" i="2"/>
  <c r="D24" l="1"/>
  <c r="D25"/>
</calcChain>
</file>

<file path=xl/sharedStrings.xml><?xml version="1.0" encoding="utf-8"?>
<sst xmlns="http://schemas.openxmlformats.org/spreadsheetml/2006/main" count="226" uniqueCount="153">
  <si>
    <t>1.1.1</t>
    <phoneticPr fontId="1" type="noConversion"/>
  </si>
  <si>
    <t>1.1.2</t>
    <phoneticPr fontId="1" type="noConversion"/>
  </si>
  <si>
    <t>1.4.1</t>
    <phoneticPr fontId="1" type="noConversion"/>
  </si>
  <si>
    <t>1.4.2</t>
    <phoneticPr fontId="1" type="noConversion"/>
  </si>
  <si>
    <t>IRR</t>
    <phoneticPr fontId="1" type="noConversion"/>
  </si>
  <si>
    <t>Sensitivity Analysis</t>
    <phoneticPr fontId="3" type="noConversion"/>
  </si>
  <si>
    <t xml:space="preserve"> Sensitivity Analysis</t>
    <phoneticPr fontId="3" type="noConversion"/>
  </si>
  <si>
    <t>Range</t>
  </si>
  <si>
    <t>fluctuate</t>
  </si>
  <si>
    <t xml:space="preserve">IRR </t>
  </si>
  <si>
    <t>Static Total Investment</t>
    <phoneticPr fontId="3" type="noConversion"/>
  </si>
  <si>
    <t>Tariff (Including VAT)</t>
    <phoneticPr fontId="3" type="noConversion"/>
  </si>
  <si>
    <t>Annual O&amp;M Costs</t>
    <phoneticPr fontId="3" type="noConversion"/>
  </si>
  <si>
    <t>Parameters</t>
  </si>
  <si>
    <t>Static Total Investment</t>
  </si>
  <si>
    <t>Annual O&amp;M Costs</t>
  </si>
  <si>
    <t>Range of Parameter
 (The IRR reach the benchmark 8%)</t>
    <phoneticPr fontId="3" type="noConversion"/>
  </si>
  <si>
    <t>Annual Net Electricity Generation</t>
    <phoneticPr fontId="3" type="noConversion"/>
  </si>
  <si>
    <t>Annual Net Electricity Generation</t>
    <phoneticPr fontId="1" type="noConversion"/>
  </si>
  <si>
    <t>Staff</t>
  </si>
  <si>
    <t>10000RMB</t>
  </si>
  <si>
    <t>Total Discount Tax Fee</t>
    <phoneticPr fontId="3" type="noConversion"/>
  </si>
  <si>
    <t xml:space="preserve">Static Total Investment </t>
    <phoneticPr fontId="3" type="noConversion"/>
  </si>
  <si>
    <t xml:space="preserve">Ratio of the Current Capital </t>
    <phoneticPr fontId="3" type="noConversion"/>
  </si>
  <si>
    <t xml:space="preserve">Principal of the Long-term Loan </t>
    <phoneticPr fontId="3" type="noConversion"/>
  </si>
  <si>
    <t>Principal of Current Capital</t>
    <phoneticPr fontId="3" type="noConversion"/>
  </si>
  <si>
    <t xml:space="preserve">Legal Surplus Reserve </t>
    <phoneticPr fontId="3" type="noConversion"/>
  </si>
  <si>
    <t>Rate of Depreciation</t>
    <phoneticPr fontId="3" type="noConversion"/>
  </si>
  <si>
    <t>Urban Maintenance &amp; Construction Tax</t>
    <phoneticPr fontId="3" type="noConversion"/>
  </si>
  <si>
    <t>Education Surcharge</t>
    <phoneticPr fontId="3" type="noConversion"/>
  </si>
  <si>
    <t>CDM Revenue</t>
    <phoneticPr fontId="3" type="noConversion"/>
  </si>
  <si>
    <t>Interest Rate</t>
    <phoneticPr fontId="3" type="noConversion"/>
  </si>
  <si>
    <t>10000RMB</t>
    <phoneticPr fontId="1" type="noConversion"/>
  </si>
  <si>
    <t>Salary and Welfare</t>
    <phoneticPr fontId="1" type="noConversion"/>
  </si>
  <si>
    <t>Insurance Costs</t>
    <phoneticPr fontId="1" type="noConversion"/>
  </si>
  <si>
    <t>Material Costs</t>
    <phoneticPr fontId="1" type="noConversion"/>
  </si>
  <si>
    <t>Miscellaneous Costs</t>
    <phoneticPr fontId="1" type="noConversion"/>
  </si>
  <si>
    <t>Depreciation</t>
    <phoneticPr fontId="1" type="noConversion"/>
  </si>
  <si>
    <t>Interest Payment</t>
    <phoneticPr fontId="1" type="noConversion"/>
  </si>
  <si>
    <t>Grand Costs</t>
    <phoneticPr fontId="1" type="noConversion"/>
  </si>
  <si>
    <t>Accumulated Principle and Interest at the beginning of the Year</t>
    <phoneticPr fontId="1" type="noConversion"/>
  </si>
  <si>
    <t>Loan of The Year</t>
    <phoneticPr fontId="1" type="noConversion"/>
  </si>
  <si>
    <t>O&amp;M Cost</t>
    <phoneticPr fontId="1" type="noConversion"/>
  </si>
  <si>
    <t>Taxes</t>
    <phoneticPr fontId="1" type="noConversion"/>
  </si>
  <si>
    <t>Interest of The Year</t>
    <phoneticPr fontId="1" type="noConversion"/>
  </si>
  <si>
    <t>RMB/EUR</t>
    <phoneticPr fontId="3" type="noConversion"/>
  </si>
  <si>
    <t>As Per NDRC</t>
    <phoneticPr fontId="3" type="noConversion"/>
  </si>
  <si>
    <t xml:space="preserve">Principal Payment </t>
    <phoneticPr fontId="1" type="noConversion"/>
  </si>
  <si>
    <t>Revenue</t>
    <phoneticPr fontId="1" type="noConversion"/>
  </si>
  <si>
    <t>Electricity Sales Reveue (Excluding VAT)</t>
    <phoneticPr fontId="1" type="noConversion"/>
  </si>
  <si>
    <t xml:space="preserve">Final Value-Added Tax </t>
    <phoneticPr fontId="1" type="noConversion"/>
  </si>
  <si>
    <t>Original VAT</t>
    <phoneticPr fontId="1" type="noConversion"/>
  </si>
  <si>
    <t>Accumulative VAT</t>
    <phoneticPr fontId="1" type="noConversion"/>
  </si>
  <si>
    <t>VAT Return</t>
    <phoneticPr fontId="1" type="noConversion"/>
  </si>
  <si>
    <t>Rest VAT after Return</t>
    <phoneticPr fontId="1" type="noConversion"/>
  </si>
  <si>
    <t>Additional Tax</t>
    <phoneticPr fontId="1" type="noConversion"/>
  </si>
  <si>
    <t>Urban Maintenance &amp; Construction Tax</t>
    <phoneticPr fontId="1" type="noConversion"/>
  </si>
  <si>
    <t>Education Surcharge</t>
    <phoneticPr fontId="1" type="noConversion"/>
  </si>
  <si>
    <t>Five years before</t>
    <phoneticPr fontId="1" type="noConversion"/>
  </si>
  <si>
    <t>Four years before</t>
    <phoneticPr fontId="1" type="noConversion"/>
  </si>
  <si>
    <t>Three years before</t>
    <phoneticPr fontId="1" type="noConversion"/>
  </si>
  <si>
    <t>Two years before</t>
    <phoneticPr fontId="1" type="noConversion"/>
  </si>
  <si>
    <t>One year before</t>
    <phoneticPr fontId="1" type="noConversion"/>
  </si>
  <si>
    <t>Offset the loss produced in previous years</t>
    <phoneticPr fontId="1" type="noConversion"/>
  </si>
  <si>
    <t>Income Tax</t>
    <phoneticPr fontId="1" type="noConversion"/>
  </si>
  <si>
    <t>Pre-tax Profit</t>
    <phoneticPr fontId="1" type="noConversion"/>
  </si>
  <si>
    <t>Pre-tax Profit after offset</t>
    <phoneticPr fontId="1" type="noConversion"/>
  </si>
  <si>
    <t>Post-tax Profit</t>
    <phoneticPr fontId="1" type="noConversion"/>
  </si>
  <si>
    <t xml:space="preserve">Legal Surplus Reserve </t>
    <phoneticPr fontId="1" type="noConversion"/>
  </si>
  <si>
    <t>Profit available for distribution</t>
    <phoneticPr fontId="1" type="noConversion"/>
  </si>
  <si>
    <t>Installed Capacity (MW)</t>
    <phoneticPr fontId="1" type="noConversion"/>
  </si>
  <si>
    <t xml:space="preserve">Cash In </t>
    <phoneticPr fontId="1" type="noConversion"/>
  </si>
  <si>
    <t>Subsidy revenue</t>
    <phoneticPr fontId="1" type="noConversion"/>
  </si>
  <si>
    <t>Residue of Fixed Assets</t>
    <phoneticPr fontId="1" type="noConversion"/>
  </si>
  <si>
    <t>Current Capital Callback</t>
    <phoneticPr fontId="1" type="noConversion"/>
  </si>
  <si>
    <t>Cash Out</t>
    <phoneticPr fontId="1" type="noConversion"/>
  </si>
  <si>
    <t>Static Total Investment</t>
    <phoneticPr fontId="1" type="noConversion"/>
  </si>
  <si>
    <t>Current Capital</t>
    <phoneticPr fontId="1" type="noConversion"/>
  </si>
  <si>
    <t>O&amp;M Costs</t>
    <phoneticPr fontId="1" type="noConversion"/>
  </si>
  <si>
    <t>Net Cash Flow</t>
    <phoneticPr fontId="1" type="noConversion"/>
  </si>
  <si>
    <t>CDM Revenue</t>
    <phoneticPr fontId="1" type="noConversion"/>
  </si>
  <si>
    <t>Net Cash Flow (with CDM)</t>
    <phoneticPr fontId="1" type="noConversion"/>
  </si>
  <si>
    <t>IRR (with CDM)</t>
    <phoneticPr fontId="1" type="noConversion"/>
  </si>
  <si>
    <t>No.</t>
    <phoneticPr fontId="1" type="noConversion"/>
  </si>
  <si>
    <t>Total</t>
    <phoneticPr fontId="1" type="noConversion"/>
  </si>
  <si>
    <t>Interest During Construction Period</t>
    <phoneticPr fontId="1" type="noConversion"/>
  </si>
  <si>
    <t>Payment of Principal and Interest</t>
    <phoneticPr fontId="1" type="noConversion"/>
  </si>
  <si>
    <t>Insurance Costs</t>
    <phoneticPr fontId="3" type="noConversion"/>
  </si>
  <si>
    <t>Persons</t>
    <phoneticPr fontId="3" type="noConversion"/>
  </si>
  <si>
    <t>Calculated</t>
    <phoneticPr fontId="3" type="noConversion"/>
  </si>
  <si>
    <t>Parameters for Calculation of Key Financial Indicators</t>
    <phoneticPr fontId="1" type="noConversion"/>
  </si>
  <si>
    <t>No.</t>
    <phoneticPr fontId="3" type="noConversion"/>
  </si>
  <si>
    <t>Key Parameters</t>
    <phoneticPr fontId="3" type="noConversion"/>
  </si>
  <si>
    <t>Value</t>
    <phoneticPr fontId="3" type="noConversion"/>
  </si>
  <si>
    <t>Unit</t>
    <phoneticPr fontId="3" type="noConversion"/>
  </si>
  <si>
    <t>Data Source</t>
    <phoneticPr fontId="3" type="noConversion"/>
  </si>
  <si>
    <t>IRR=</t>
    <phoneticPr fontId="3" type="noConversion"/>
  </si>
  <si>
    <t>Basic Parameters</t>
    <phoneticPr fontId="1" type="noConversion"/>
  </si>
  <si>
    <t>Installed Capacity</t>
    <phoneticPr fontId="3" type="noConversion"/>
  </si>
  <si>
    <t>MW</t>
    <phoneticPr fontId="3" type="noConversion"/>
  </si>
  <si>
    <t>Feasibility Study Report</t>
    <phoneticPr fontId="3" type="noConversion"/>
  </si>
  <si>
    <t>MWh</t>
    <phoneticPr fontId="3" type="noConversion"/>
  </si>
  <si>
    <t xml:space="preserve">Tariff (Including VAT) </t>
    <phoneticPr fontId="3" type="noConversion"/>
  </si>
  <si>
    <t>RMB/kWh</t>
    <phoneticPr fontId="3" type="noConversion"/>
  </si>
  <si>
    <t xml:space="preserve">Tariff (Excluding VAT) </t>
    <phoneticPr fontId="3" type="noConversion"/>
  </si>
  <si>
    <t>Construction Period</t>
    <phoneticPr fontId="3" type="noConversion"/>
  </si>
  <si>
    <t>Year</t>
    <phoneticPr fontId="3" type="noConversion"/>
  </si>
  <si>
    <t>Operation Period</t>
    <phoneticPr fontId="3" type="noConversion"/>
  </si>
  <si>
    <t>Years</t>
    <phoneticPr fontId="3" type="noConversion"/>
  </si>
  <si>
    <t>10000RMB</t>
    <phoneticPr fontId="3" type="noConversion"/>
  </si>
  <si>
    <t>Proportion of Current Capital Loan</t>
    <phoneticPr fontId="3" type="noConversion"/>
  </si>
  <si>
    <t>Rate of Residue Value</t>
    <phoneticPr fontId="3" type="noConversion"/>
  </si>
  <si>
    <t>Depreciation Year</t>
    <phoneticPr fontId="3" type="noConversion"/>
  </si>
  <si>
    <t>Investment</t>
    <phoneticPr fontId="1" type="noConversion"/>
  </si>
  <si>
    <t>Total Investment</t>
    <phoneticPr fontId="3" type="noConversion"/>
  </si>
  <si>
    <t>Dynamic Total Investment</t>
    <phoneticPr fontId="3" type="noConversion"/>
  </si>
  <si>
    <t>Current Capital</t>
    <phoneticPr fontId="3" type="noConversion"/>
  </si>
  <si>
    <t>RMB/kW</t>
    <phoneticPr fontId="3" type="noConversion"/>
  </si>
  <si>
    <t>Interest Rate of Long-term Loan</t>
    <phoneticPr fontId="3" type="noConversion"/>
  </si>
  <si>
    <t>Interest Rate of Current Capital</t>
    <phoneticPr fontId="3" type="noConversion"/>
  </si>
  <si>
    <t>Salary</t>
    <phoneticPr fontId="3" type="noConversion"/>
  </si>
  <si>
    <t>Welfare Costs</t>
    <phoneticPr fontId="3" type="noConversion"/>
  </si>
  <si>
    <t>Repair Costs</t>
    <phoneticPr fontId="3" type="noConversion"/>
  </si>
  <si>
    <t>Material Costs</t>
    <phoneticPr fontId="3" type="noConversion"/>
  </si>
  <si>
    <t>Miscellaneous Costs</t>
    <phoneticPr fontId="3" type="noConversion"/>
  </si>
  <si>
    <t>Value-Added Tax (VAT)</t>
    <phoneticPr fontId="3" type="noConversion"/>
  </si>
  <si>
    <t>Income Tax</t>
    <phoneticPr fontId="3" type="noConversion"/>
  </si>
  <si>
    <t>CER</t>
    <phoneticPr fontId="1" type="noConversion"/>
  </si>
  <si>
    <t>tCO2/MWh</t>
    <phoneticPr fontId="3" type="noConversion"/>
  </si>
  <si>
    <t>Expected CERs</t>
    <phoneticPr fontId="3" type="noConversion"/>
  </si>
  <si>
    <t>Expected CERs Price</t>
    <phoneticPr fontId="3" type="noConversion"/>
  </si>
  <si>
    <t>Exchange Rate</t>
    <phoneticPr fontId="3" type="noConversion"/>
  </si>
  <si>
    <t>Unit:</t>
    <phoneticPr fontId="1" type="noConversion"/>
  </si>
  <si>
    <t>Repair Costs</t>
    <phoneticPr fontId="1" type="noConversion"/>
  </si>
  <si>
    <t>Loan &amp; Payment</t>
    <phoneticPr fontId="1" type="noConversion"/>
  </si>
  <si>
    <t>Total Cost &amp; Expenses</t>
    <phoneticPr fontId="1" type="noConversion"/>
  </si>
  <si>
    <t>Profit &amp; Loss</t>
    <phoneticPr fontId="1" type="noConversion"/>
  </si>
  <si>
    <t>Cashflow (Total Investment)</t>
    <phoneticPr fontId="1" type="noConversion"/>
  </si>
  <si>
    <t>The costs of main equipment purchase</t>
    <phoneticPr fontId="3" type="noConversion"/>
  </si>
  <si>
    <t>Loan Interest during Construction Period</t>
    <phoneticPr fontId="3" type="noConversion"/>
  </si>
  <si>
    <t>Employee's Welfare</t>
    <phoneticPr fontId="3" type="noConversion"/>
  </si>
  <si>
    <t>Labor Insurance</t>
    <phoneticPr fontId="3" type="noConversion"/>
  </si>
  <si>
    <t>Housing Accumulation Fund</t>
    <phoneticPr fontId="3" type="noConversion"/>
  </si>
  <si>
    <t>Other</t>
    <phoneticPr fontId="3" type="noConversion"/>
  </si>
  <si>
    <t>OM of NWPG</t>
    <phoneticPr fontId="3" type="noConversion"/>
  </si>
  <si>
    <t>BM of NWPG</t>
    <phoneticPr fontId="3" type="noConversion"/>
  </si>
  <si>
    <t>CM of NWPG</t>
    <phoneticPr fontId="3" type="noConversion"/>
  </si>
  <si>
    <t>Ratio of VAT Deduction</t>
    <phoneticPr fontId="3" type="noConversion"/>
  </si>
  <si>
    <t>VAT Deduction</t>
  </si>
  <si>
    <t>Rest VAT after Deduction</t>
  </si>
  <si>
    <t>tCO2/Year</t>
    <phoneticPr fontId="3" type="noConversion"/>
  </si>
  <si>
    <t>RMB/tCO2</t>
    <phoneticPr fontId="3" type="noConversion"/>
  </si>
  <si>
    <t>RMB/Year</t>
    <phoneticPr fontId="3" type="noConversion"/>
  </si>
</sst>
</file>

<file path=xl/styles.xml><?xml version="1.0" encoding="utf-8"?>
<styleSheet xmlns="http://schemas.openxmlformats.org/spreadsheetml/2006/main">
  <numFmts count="9">
    <numFmt numFmtId="43" formatCode="_ * #,##0.00_ ;_ * \-#,##0.00_ ;_ * &quot;-&quot;??_ ;_ @_ "/>
    <numFmt numFmtId="176" formatCode="0.0000_ "/>
    <numFmt numFmtId="177" formatCode="0.0%"/>
    <numFmt numFmtId="178" formatCode="#,##0.00_);[Red]\(#,##0.00\)"/>
    <numFmt numFmtId="179" formatCode="_ * #,##0_ ;_ * \-#,##0_ ;_ * &quot;-&quot;??_ ;_ @_ "/>
    <numFmt numFmtId="180" formatCode="_ * #,##0.0000_ ;_ * \-#,##0.0000_ ;_ * &quot;-&quot;??_ ;_ @_ "/>
    <numFmt numFmtId="181" formatCode="0.00_ "/>
    <numFmt numFmtId="182" formatCode="#,##0.00_ "/>
    <numFmt numFmtId="183" formatCode="#,##0_ "/>
  </numFmts>
  <fonts count="1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</font>
    <font>
      <sz val="11"/>
      <color theme="1"/>
      <name val="Calibri"/>
      <family val="2"/>
    </font>
    <font>
      <sz val="11"/>
      <name val="Calibri"/>
      <family val="2"/>
    </font>
    <font>
      <sz val="11"/>
      <color indexed="8"/>
      <name val="Calibri"/>
      <family val="2"/>
    </font>
    <font>
      <sz val="18"/>
      <name val="Calibri"/>
      <family val="2"/>
    </font>
    <font>
      <sz val="12"/>
      <name val="Calibri"/>
      <family val="2"/>
    </font>
    <font>
      <b/>
      <sz val="16"/>
      <name val="Calibri"/>
      <family val="2"/>
    </font>
    <font>
      <b/>
      <sz val="11"/>
      <name val="Calibri"/>
      <family val="2"/>
    </font>
    <font>
      <b/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theme="9"/>
      </left>
      <right style="hair">
        <color theme="9"/>
      </right>
      <top style="hair">
        <color theme="9"/>
      </top>
      <bottom style="hair">
        <color theme="9"/>
      </bottom>
      <diagonal/>
    </border>
    <border>
      <left/>
      <right/>
      <top style="thick">
        <color theme="9"/>
      </top>
      <bottom style="thick">
        <color theme="9"/>
      </bottom>
      <diagonal/>
    </border>
    <border>
      <left/>
      <right style="thick">
        <color theme="9"/>
      </right>
      <top style="thick">
        <color theme="9"/>
      </top>
      <bottom style="thick">
        <color theme="9"/>
      </bottom>
      <diagonal/>
    </border>
    <border>
      <left/>
      <right style="hair">
        <color theme="9"/>
      </right>
      <top style="hair">
        <color theme="9"/>
      </top>
      <bottom style="hair">
        <color theme="9"/>
      </bottom>
      <diagonal/>
    </border>
    <border>
      <left style="hair">
        <color theme="9"/>
      </left>
      <right/>
      <top style="hair">
        <color theme="9"/>
      </top>
      <bottom style="hair">
        <color theme="9"/>
      </bottom>
      <diagonal/>
    </border>
    <border>
      <left/>
      <right style="hair">
        <color theme="9"/>
      </right>
      <top style="thick">
        <color theme="9"/>
      </top>
      <bottom/>
      <diagonal/>
    </border>
    <border>
      <left style="hair">
        <color theme="9"/>
      </left>
      <right style="hair">
        <color theme="9"/>
      </right>
      <top style="thick">
        <color theme="9"/>
      </top>
      <bottom/>
      <diagonal/>
    </border>
    <border>
      <left/>
      <right style="hair">
        <color theme="9"/>
      </right>
      <top/>
      <bottom/>
      <diagonal/>
    </border>
    <border>
      <left style="hair">
        <color theme="9"/>
      </left>
      <right style="hair">
        <color theme="9"/>
      </right>
      <top/>
      <bottom/>
      <diagonal/>
    </border>
    <border>
      <left/>
      <right style="hair">
        <color theme="9"/>
      </right>
      <top style="hair">
        <color theme="9"/>
      </top>
      <bottom/>
      <diagonal/>
    </border>
    <border>
      <left/>
      <right style="hair">
        <color theme="9"/>
      </right>
      <top/>
      <bottom style="hair">
        <color theme="9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</cellStyleXfs>
  <cellXfs count="112">
    <xf numFmtId="0" fontId="0" fillId="0" borderId="0" xfId="0">
      <alignment vertical="center"/>
    </xf>
    <xf numFmtId="0" fontId="5" fillId="3" borderId="1" xfId="0" applyFont="1" applyFill="1" applyBorder="1" applyAlignment="1">
      <alignment horizontal="left" vertical="top" wrapText="1"/>
    </xf>
    <xf numFmtId="0" fontId="5" fillId="3" borderId="1" xfId="0" applyFont="1" applyFill="1" applyBorder="1" applyAlignment="1">
      <alignment horizontal="center" vertical="center"/>
    </xf>
    <xf numFmtId="0" fontId="7" fillId="5" borderId="0" xfId="0" applyFont="1" applyFill="1" applyBorder="1" applyAlignment="1"/>
    <xf numFmtId="0" fontId="8" fillId="5" borderId="0" xfId="0" applyFont="1" applyFill="1" applyBorder="1" applyAlignment="1"/>
    <xf numFmtId="0" fontId="8" fillId="0" borderId="0" xfId="0" applyFont="1" applyBorder="1" applyAlignment="1"/>
    <xf numFmtId="0" fontId="8" fillId="0" borderId="0" xfId="0" applyFont="1" applyAlignment="1"/>
    <xf numFmtId="0" fontId="4" fillId="0" borderId="0" xfId="0" applyFont="1">
      <alignment vertical="center"/>
    </xf>
    <xf numFmtId="0" fontId="5" fillId="5" borderId="16" xfId="0" applyFont="1" applyFill="1" applyBorder="1" applyAlignment="1">
      <alignment horizontal="center" vertical="center"/>
    </xf>
    <xf numFmtId="9" fontId="5" fillId="5" borderId="17" xfId="0" applyNumberFormat="1" applyFont="1" applyFill="1" applyBorder="1" applyAlignment="1">
      <alignment horizontal="center" vertical="center" wrapText="1"/>
    </xf>
    <xf numFmtId="177" fontId="5" fillId="5" borderId="17" xfId="0" applyNumberFormat="1" applyFont="1" applyFill="1" applyBorder="1" applyAlignment="1">
      <alignment horizontal="center" vertical="center" wrapText="1"/>
    </xf>
    <xf numFmtId="9" fontId="5" fillId="5" borderId="18" xfId="0" applyNumberFormat="1" applyFont="1" applyFill="1" applyBorder="1" applyAlignment="1">
      <alignment horizontal="center" vertical="center" wrapText="1"/>
    </xf>
    <xf numFmtId="0" fontId="8" fillId="6" borderId="19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8" fillId="6" borderId="20" xfId="0" applyFont="1" applyFill="1" applyBorder="1" applyAlignment="1">
      <alignment horizontal="center" vertical="center"/>
    </xf>
    <xf numFmtId="0" fontId="5" fillId="5" borderId="19" xfId="0" applyFont="1" applyFill="1" applyBorder="1" applyAlignment="1">
      <alignment horizontal="center" vertical="center" wrapText="1"/>
    </xf>
    <xf numFmtId="10" fontId="8" fillId="0" borderId="0" xfId="0" applyNumberFormat="1" applyFont="1" applyAlignment="1"/>
    <xf numFmtId="0" fontId="5" fillId="6" borderId="19" xfId="0" applyFont="1" applyFill="1" applyBorder="1" applyAlignment="1">
      <alignment horizontal="center" vertical="center" wrapText="1"/>
    </xf>
    <xf numFmtId="10" fontId="8" fillId="6" borderId="1" xfId="0" applyNumberFormat="1" applyFont="1" applyFill="1" applyBorder="1" applyAlignment="1">
      <alignment horizontal="center" vertical="center"/>
    </xf>
    <xf numFmtId="9" fontId="8" fillId="0" borderId="0" xfId="0" applyNumberFormat="1" applyFont="1" applyAlignment="1"/>
    <xf numFmtId="0" fontId="5" fillId="2" borderId="19" xfId="0" applyFont="1" applyFill="1" applyBorder="1" applyAlignment="1">
      <alignment horizontal="center" vertical="center" wrapText="1"/>
    </xf>
    <xf numFmtId="0" fontId="5" fillId="5" borderId="23" xfId="0" applyFont="1" applyFill="1" applyBorder="1" applyAlignment="1">
      <alignment horizontal="center" vertical="center" wrapText="1"/>
    </xf>
    <xf numFmtId="0" fontId="5" fillId="2" borderId="23" xfId="0" applyFont="1" applyFill="1" applyBorder="1" applyAlignment="1">
      <alignment horizontal="center" vertical="center" wrapText="1"/>
    </xf>
    <xf numFmtId="10" fontId="8" fillId="6" borderId="24" xfId="0" applyNumberFormat="1" applyFont="1" applyFill="1" applyBorder="1" applyAlignment="1">
      <alignment horizontal="center" vertical="center"/>
    </xf>
    <xf numFmtId="0" fontId="6" fillId="0" borderId="26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5" fillId="0" borderId="27" xfId="0" applyFont="1" applyBorder="1" applyAlignment="1">
      <alignment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3" borderId="0" xfId="0" applyFont="1" applyFill="1">
      <alignment vertical="center"/>
    </xf>
    <xf numFmtId="0" fontId="10" fillId="4" borderId="1" xfId="0" applyFont="1" applyFill="1" applyBorder="1" applyAlignment="1">
      <alignment horizontal="center" vertical="center"/>
    </xf>
    <xf numFmtId="0" fontId="10" fillId="3" borderId="0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10" fillId="3" borderId="1" xfId="0" applyFont="1" applyFill="1" applyBorder="1">
      <alignment vertical="center"/>
    </xf>
    <xf numFmtId="0" fontId="5" fillId="3" borderId="0" xfId="0" applyFont="1" applyFill="1" applyBorder="1" applyAlignment="1">
      <alignment horizontal="center" vertical="center"/>
    </xf>
    <xf numFmtId="176" fontId="5" fillId="3" borderId="1" xfId="0" applyNumberFormat="1" applyFont="1" applyFill="1" applyBorder="1" applyAlignment="1">
      <alignment horizontal="center" vertical="center"/>
    </xf>
    <xf numFmtId="9" fontId="5" fillId="3" borderId="1" xfId="0" applyNumberFormat="1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vertical="center" wrapText="1"/>
    </xf>
    <xf numFmtId="10" fontId="5" fillId="3" borderId="1" xfId="0" applyNumberFormat="1" applyFont="1" applyFill="1" applyBorder="1" applyAlignment="1">
      <alignment horizontal="center" vertical="center"/>
    </xf>
    <xf numFmtId="43" fontId="5" fillId="3" borderId="0" xfId="0" applyNumberFormat="1" applyFont="1" applyFill="1" applyBorder="1" applyAlignment="1">
      <alignment horizontal="center" vertical="center"/>
    </xf>
    <xf numFmtId="0" fontId="5" fillId="3" borderId="1" xfId="0" applyFont="1" applyFill="1" applyBorder="1">
      <alignment vertical="center"/>
    </xf>
    <xf numFmtId="43" fontId="5" fillId="3" borderId="1" xfId="0" applyNumberFormat="1" applyFont="1" applyFill="1" applyBorder="1" applyAlignment="1">
      <alignment horizontal="center" vertical="center"/>
    </xf>
    <xf numFmtId="180" fontId="5" fillId="3" borderId="0" xfId="0" applyNumberFormat="1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left" vertical="top" wrapText="1"/>
    </xf>
    <xf numFmtId="0" fontId="10" fillId="3" borderId="1" xfId="0" applyFont="1" applyFill="1" applyBorder="1" applyAlignment="1">
      <alignment horizontal="left"/>
    </xf>
    <xf numFmtId="0" fontId="5" fillId="0" borderId="1" xfId="0" applyFont="1" applyFill="1" applyBorder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179" fontId="5" fillId="3" borderId="0" xfId="0" applyNumberFormat="1" applyFont="1" applyFill="1" applyBorder="1" applyAlignment="1">
      <alignment horizontal="center" vertical="center"/>
    </xf>
    <xf numFmtId="0" fontId="5" fillId="3" borderId="0" xfId="0" applyFont="1" applyFill="1" applyBorder="1">
      <alignment vertical="center"/>
    </xf>
    <xf numFmtId="176" fontId="5" fillId="3" borderId="0" xfId="0" applyNumberFormat="1" applyFont="1" applyFill="1" applyBorder="1" applyAlignment="1">
      <alignment horizontal="center" vertical="center"/>
    </xf>
    <xf numFmtId="43" fontId="5" fillId="3" borderId="0" xfId="0" applyNumberFormat="1" applyFont="1" applyFill="1">
      <alignment vertical="center"/>
    </xf>
    <xf numFmtId="180" fontId="10" fillId="3" borderId="0" xfId="0" applyNumberFormat="1" applyFont="1" applyFill="1" applyBorder="1" applyAlignment="1">
      <alignment horizontal="center" vertical="center"/>
    </xf>
    <xf numFmtId="179" fontId="10" fillId="3" borderId="0" xfId="0" applyNumberFormat="1" applyFont="1" applyFill="1" applyBorder="1" applyAlignment="1">
      <alignment horizontal="center" vertical="center"/>
    </xf>
    <xf numFmtId="181" fontId="5" fillId="3" borderId="0" xfId="0" applyNumberFormat="1" applyFont="1" applyFill="1" applyBorder="1" applyAlignment="1">
      <alignment horizontal="center" vertical="center"/>
    </xf>
    <xf numFmtId="176" fontId="5" fillId="0" borderId="1" xfId="0" applyNumberFormat="1" applyFont="1" applyFill="1" applyBorder="1" applyAlignment="1">
      <alignment horizontal="center" vertical="center"/>
    </xf>
    <xf numFmtId="0" fontId="4" fillId="3" borderId="0" xfId="1" applyNumberFormat="1" applyFont="1" applyFill="1" applyAlignment="1">
      <alignment horizontal="center" vertical="center"/>
    </xf>
    <xf numFmtId="178" fontId="4" fillId="3" borderId="0" xfId="1" applyNumberFormat="1" applyFont="1" applyFill="1" applyAlignment="1">
      <alignment horizontal="left" vertical="center" wrapText="1"/>
    </xf>
    <xf numFmtId="178" fontId="4" fillId="3" borderId="0" xfId="1" applyNumberFormat="1" applyFont="1" applyFill="1">
      <alignment vertical="center"/>
    </xf>
    <xf numFmtId="0" fontId="4" fillId="3" borderId="0" xfId="1" applyNumberFormat="1" applyFont="1" applyFill="1" applyBorder="1" applyAlignment="1">
      <alignment horizontal="center" vertical="center"/>
    </xf>
    <xf numFmtId="178" fontId="4" fillId="3" borderId="0" xfId="1" applyNumberFormat="1" applyFont="1" applyFill="1" applyBorder="1" applyAlignment="1">
      <alignment horizontal="left" vertical="center" wrapText="1"/>
    </xf>
    <xf numFmtId="178" fontId="4" fillId="3" borderId="0" xfId="1" applyNumberFormat="1" applyFont="1" applyFill="1" applyBorder="1">
      <alignment vertical="center"/>
    </xf>
    <xf numFmtId="0" fontId="11" fillId="4" borderId="10" xfId="1" applyNumberFormat="1" applyFont="1" applyFill="1" applyBorder="1" applyAlignment="1">
      <alignment horizontal="center" vertical="center"/>
    </xf>
    <xf numFmtId="0" fontId="11" fillId="4" borderId="11" xfId="1" applyNumberFormat="1" applyFont="1" applyFill="1" applyBorder="1" applyAlignment="1">
      <alignment horizontal="center" vertical="center" wrapText="1"/>
    </xf>
    <xf numFmtId="0" fontId="11" fillId="4" borderId="11" xfId="1" applyNumberFormat="1" applyFont="1" applyFill="1" applyBorder="1" applyAlignment="1">
      <alignment horizontal="center" vertical="center"/>
    </xf>
    <xf numFmtId="0" fontId="11" fillId="4" borderId="5" xfId="1" applyNumberFormat="1" applyFont="1" applyFill="1" applyBorder="1" applyAlignment="1">
      <alignment horizontal="center" vertical="center"/>
    </xf>
    <xf numFmtId="0" fontId="11" fillId="4" borderId="9" xfId="1" applyNumberFormat="1" applyFont="1" applyFill="1" applyBorder="1" applyAlignment="1">
      <alignment horizontal="center" vertical="center"/>
    </xf>
    <xf numFmtId="0" fontId="4" fillId="0" borderId="8" xfId="1" applyNumberFormat="1" applyFont="1" applyFill="1" applyBorder="1" applyAlignment="1">
      <alignment horizontal="center" vertical="center"/>
    </xf>
    <xf numFmtId="178" fontId="4" fillId="0" borderId="5" xfId="1" applyNumberFormat="1" applyFont="1" applyFill="1" applyBorder="1" applyAlignment="1">
      <alignment horizontal="left" vertical="center" wrapText="1"/>
    </xf>
    <xf numFmtId="178" fontId="4" fillId="0" borderId="5" xfId="1" applyNumberFormat="1" applyFont="1" applyFill="1" applyBorder="1">
      <alignment vertical="center"/>
    </xf>
    <xf numFmtId="178" fontId="4" fillId="0" borderId="0" xfId="1" applyNumberFormat="1" applyFont="1" applyFill="1">
      <alignment vertical="center"/>
    </xf>
    <xf numFmtId="178" fontId="4" fillId="0" borderId="9" xfId="1" applyNumberFormat="1" applyFont="1" applyFill="1" applyBorder="1">
      <alignment vertical="center"/>
    </xf>
    <xf numFmtId="178" fontId="4" fillId="3" borderId="0" xfId="1" applyNumberFormat="1" applyFont="1" applyFill="1" applyBorder="1" applyAlignment="1">
      <alignment vertical="center" wrapText="1"/>
    </xf>
    <xf numFmtId="0" fontId="4" fillId="0" borderId="12" xfId="1" applyNumberFormat="1" applyFont="1" applyFill="1" applyBorder="1" applyAlignment="1">
      <alignment horizontal="center" vertical="center"/>
    </xf>
    <xf numFmtId="178" fontId="4" fillId="0" borderId="13" xfId="1" applyNumberFormat="1" applyFont="1" applyFill="1" applyBorder="1" applyAlignment="1">
      <alignment vertical="center" wrapText="1"/>
    </xf>
    <xf numFmtId="178" fontId="4" fillId="0" borderId="0" xfId="1" applyNumberFormat="1" applyFont="1" applyFill="1" applyAlignment="1">
      <alignment vertical="center" wrapText="1"/>
    </xf>
    <xf numFmtId="178" fontId="4" fillId="3" borderId="5" xfId="1" applyNumberFormat="1" applyFont="1" applyFill="1" applyBorder="1">
      <alignment vertical="center"/>
    </xf>
    <xf numFmtId="0" fontId="4" fillId="3" borderId="8" xfId="1" applyNumberFormat="1" applyFont="1" applyFill="1" applyBorder="1" applyAlignment="1">
      <alignment horizontal="center" vertical="center"/>
    </xf>
    <xf numFmtId="178" fontId="5" fillId="3" borderId="5" xfId="1" applyNumberFormat="1" applyFont="1" applyFill="1" applyBorder="1" applyAlignment="1">
      <alignment horizontal="left" vertical="center" wrapText="1"/>
    </xf>
    <xf numFmtId="178" fontId="4" fillId="3" borderId="5" xfId="1" applyNumberFormat="1" applyFont="1" applyFill="1" applyBorder="1" applyAlignment="1">
      <alignment horizontal="left" vertical="center" wrapText="1"/>
    </xf>
    <xf numFmtId="10" fontId="4" fillId="3" borderId="5" xfId="1" applyNumberFormat="1" applyFont="1" applyFill="1" applyBorder="1">
      <alignment vertical="center"/>
    </xf>
    <xf numFmtId="178" fontId="4" fillId="3" borderId="9" xfId="1" applyNumberFormat="1" applyFont="1" applyFill="1" applyBorder="1">
      <alignment vertical="center"/>
    </xf>
    <xf numFmtId="178" fontId="4" fillId="0" borderId="0" xfId="1" applyNumberFormat="1" applyFont="1" applyFill="1" applyAlignment="1">
      <alignment horizontal="left" vertical="center" wrapText="1"/>
    </xf>
    <xf numFmtId="10" fontId="5" fillId="0" borderId="1" xfId="0" applyNumberFormat="1" applyFont="1" applyFill="1" applyBorder="1" applyAlignment="1">
      <alignment horizontal="center" vertical="center"/>
    </xf>
    <xf numFmtId="10" fontId="5" fillId="0" borderId="20" xfId="0" applyNumberFormat="1" applyFont="1" applyFill="1" applyBorder="1" applyAlignment="1">
      <alignment horizontal="center" vertical="center"/>
    </xf>
    <xf numFmtId="10" fontId="5" fillId="0" borderId="24" xfId="0" applyNumberFormat="1" applyFont="1" applyFill="1" applyBorder="1" applyAlignment="1">
      <alignment horizontal="center" vertical="center"/>
    </xf>
    <xf numFmtId="10" fontId="5" fillId="0" borderId="29" xfId="0" applyNumberFormat="1" applyFont="1" applyFill="1" applyBorder="1" applyAlignment="1">
      <alignment horizontal="center" vertical="center"/>
    </xf>
    <xf numFmtId="10" fontId="5" fillId="0" borderId="28" xfId="0" applyNumberFormat="1" applyFont="1" applyBorder="1" applyAlignment="1">
      <alignment horizontal="center" vertical="center" wrapText="1"/>
    </xf>
    <xf numFmtId="181" fontId="5" fillId="3" borderId="1" xfId="0" applyNumberFormat="1" applyFont="1" applyFill="1" applyBorder="1" applyAlignment="1">
      <alignment horizontal="center" vertical="center"/>
    </xf>
    <xf numFmtId="10" fontId="10" fillId="4" borderId="4" xfId="2" applyNumberFormat="1" applyFont="1" applyFill="1" applyBorder="1" applyAlignment="1">
      <alignment horizontal="center" vertical="center"/>
    </xf>
    <xf numFmtId="0" fontId="10" fillId="4" borderId="2" xfId="0" applyFont="1" applyFill="1" applyBorder="1" applyAlignment="1">
      <alignment horizontal="right" vertical="center"/>
    </xf>
    <xf numFmtId="0" fontId="10" fillId="0" borderId="1" xfId="0" applyFont="1" applyFill="1" applyBorder="1">
      <alignment vertical="center"/>
    </xf>
    <xf numFmtId="43" fontId="5" fillId="0" borderId="1" xfId="0" applyNumberFormat="1" applyFont="1" applyFill="1" applyBorder="1" applyAlignment="1">
      <alignment horizontal="center" vertical="center"/>
    </xf>
    <xf numFmtId="179" fontId="5" fillId="0" borderId="1" xfId="0" applyNumberFormat="1" applyFont="1" applyFill="1" applyBorder="1" applyAlignment="1">
      <alignment horizontal="center" vertical="center"/>
    </xf>
    <xf numFmtId="9" fontId="5" fillId="0" borderId="1" xfId="0" applyNumberFormat="1" applyFont="1" applyFill="1" applyBorder="1" applyAlignment="1">
      <alignment horizontal="center" vertical="center"/>
    </xf>
    <xf numFmtId="177" fontId="5" fillId="0" borderId="1" xfId="0" applyNumberFormat="1" applyFont="1" applyFill="1" applyBorder="1" applyAlignment="1">
      <alignment horizontal="center" vertical="center"/>
    </xf>
    <xf numFmtId="177" fontId="5" fillId="0" borderId="1" xfId="0" applyNumberFormat="1" applyFont="1" applyFill="1" applyBorder="1" applyAlignment="1">
      <alignment horizontal="center" vertical="center" wrapText="1"/>
    </xf>
    <xf numFmtId="182" fontId="5" fillId="3" borderId="1" xfId="1" applyNumberFormat="1" applyFont="1" applyFill="1" applyBorder="1" applyAlignment="1">
      <alignment horizontal="center" vertical="center"/>
    </xf>
    <xf numFmtId="183" fontId="5" fillId="3" borderId="1" xfId="1" applyNumberFormat="1" applyFont="1" applyFill="1" applyBorder="1" applyAlignment="1">
      <alignment horizontal="center" vertical="center"/>
    </xf>
    <xf numFmtId="0" fontId="9" fillId="4" borderId="2" xfId="0" applyFont="1" applyFill="1" applyBorder="1" applyAlignment="1">
      <alignment horizontal="center" vertical="center"/>
    </xf>
    <xf numFmtId="0" fontId="10" fillId="4" borderId="3" xfId="0" applyFont="1" applyFill="1" applyBorder="1" applyAlignment="1">
      <alignment horizontal="center" vertical="center"/>
    </xf>
    <xf numFmtId="0" fontId="10" fillId="4" borderId="4" xfId="0" applyFont="1" applyFill="1" applyBorder="1" applyAlignment="1">
      <alignment horizontal="center" vertical="center"/>
    </xf>
    <xf numFmtId="0" fontId="10" fillId="4" borderId="2" xfId="0" applyFont="1" applyFill="1" applyBorder="1" applyAlignment="1">
      <alignment horizontal="center" vertical="center"/>
    </xf>
    <xf numFmtId="178" fontId="11" fillId="4" borderId="6" xfId="1" applyNumberFormat="1" applyFont="1" applyFill="1" applyBorder="1" applyAlignment="1">
      <alignment horizontal="center" vertical="center"/>
    </xf>
    <xf numFmtId="178" fontId="11" fillId="4" borderId="7" xfId="1" applyNumberFormat="1" applyFont="1" applyFill="1" applyBorder="1" applyAlignment="1">
      <alignment horizontal="center" vertical="center"/>
    </xf>
    <xf numFmtId="0" fontId="4" fillId="0" borderId="14" xfId="1" applyNumberFormat="1" applyFont="1" applyFill="1" applyBorder="1" applyAlignment="1">
      <alignment horizontal="center" vertical="center" wrapText="1"/>
    </xf>
    <xf numFmtId="0" fontId="4" fillId="0" borderId="12" xfId="1" applyNumberFormat="1" applyFont="1" applyFill="1" applyBorder="1" applyAlignment="1">
      <alignment horizontal="center" vertical="center" wrapText="1"/>
    </xf>
    <xf numFmtId="0" fontId="4" fillId="0" borderId="15" xfId="1" applyNumberFormat="1" applyFont="1" applyFill="1" applyBorder="1" applyAlignment="1">
      <alignment horizontal="center" vertical="center" wrapText="1"/>
    </xf>
    <xf numFmtId="0" fontId="8" fillId="6" borderId="16" xfId="0" applyFont="1" applyFill="1" applyBorder="1" applyAlignment="1">
      <alignment horizontal="center"/>
    </xf>
    <xf numFmtId="0" fontId="8" fillId="6" borderId="17" xfId="0" applyFont="1" applyFill="1" applyBorder="1" applyAlignment="1">
      <alignment horizontal="center"/>
    </xf>
    <xf numFmtId="0" fontId="8" fillId="6" borderId="18" xfId="0" applyFont="1" applyFill="1" applyBorder="1" applyAlignment="1">
      <alignment horizontal="center"/>
    </xf>
    <xf numFmtId="10" fontId="8" fillId="6" borderId="21" xfId="0" applyNumberFormat="1" applyFont="1" applyFill="1" applyBorder="1" applyAlignment="1" applyProtection="1">
      <alignment horizontal="center" vertical="center"/>
      <protection locked="0"/>
    </xf>
    <xf numFmtId="10" fontId="8" fillId="6" borderId="22" xfId="0" applyNumberFormat="1" applyFont="1" applyFill="1" applyBorder="1" applyAlignment="1" applyProtection="1">
      <alignment horizontal="center" vertical="center"/>
      <protection locked="0"/>
    </xf>
    <xf numFmtId="10" fontId="8" fillId="6" borderId="25" xfId="0" applyNumberFormat="1" applyFont="1" applyFill="1" applyBorder="1" applyAlignment="1" applyProtection="1">
      <alignment horizontal="center" vertical="center"/>
      <protection locked="0"/>
    </xf>
  </cellXfs>
  <cellStyles count="3">
    <cellStyle name="百分比" xfId="2" builtinId="5"/>
    <cellStyle name="常规" xfId="0" builtinId="0"/>
    <cellStyle name="千位分隔" xfId="1" builtin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0.12544663167104228"/>
          <c:y val="5.1400554097404488E-2"/>
          <c:w val="0.54677559055118796"/>
          <c:h val="0.76303842228055518"/>
        </c:manualLayout>
      </c:layout>
      <c:lineChart>
        <c:grouping val="standard"/>
        <c:ser>
          <c:idx val="0"/>
          <c:order val="0"/>
          <c:tx>
            <c:strRef>
              <c:f>Sensitivity!$A$4</c:f>
              <c:strCache>
                <c:ptCount val="1"/>
                <c:pt idx="0">
                  <c:v>Static Total Investment</c:v>
                </c:pt>
              </c:strCache>
            </c:strRef>
          </c:tx>
          <c:cat>
            <c:numRef>
              <c:f>Sensitivity!$B$3:$J$3</c:f>
              <c:numCache>
                <c:formatCode>0.0%</c:formatCode>
                <c:ptCount val="9"/>
                <c:pt idx="0" formatCode="0%">
                  <c:v>-0.1</c:v>
                </c:pt>
                <c:pt idx="1">
                  <c:v>-7.4999999999999997E-2</c:v>
                </c:pt>
                <c:pt idx="2">
                  <c:v>-0.05</c:v>
                </c:pt>
                <c:pt idx="3">
                  <c:v>-2.5000000000000001E-2</c:v>
                </c:pt>
                <c:pt idx="4" formatCode="0%">
                  <c:v>0</c:v>
                </c:pt>
                <c:pt idx="5">
                  <c:v>2.5000000000000001E-2</c:v>
                </c:pt>
                <c:pt idx="6">
                  <c:v>0.05</c:v>
                </c:pt>
                <c:pt idx="7">
                  <c:v>7.4999999999999997E-2</c:v>
                </c:pt>
                <c:pt idx="8" formatCode="0%">
                  <c:v>0.1</c:v>
                </c:pt>
              </c:numCache>
            </c:numRef>
          </c:cat>
          <c:val>
            <c:numRef>
              <c:f>Sensitivity!$B$4:$J$4</c:f>
              <c:numCache>
                <c:formatCode>0.00%</c:formatCode>
                <c:ptCount val="9"/>
                <c:pt idx="0">
                  <c:v>8.1900000000000001E-2</c:v>
                </c:pt>
                <c:pt idx="1">
                  <c:v>7.7700000000000005E-2</c:v>
                </c:pt>
                <c:pt idx="2">
                  <c:v>7.3599999999999999E-2</c:v>
                </c:pt>
                <c:pt idx="3">
                  <c:v>6.9699999999999998E-2</c:v>
                </c:pt>
                <c:pt idx="4">
                  <c:v>6.59E-2</c:v>
                </c:pt>
                <c:pt idx="5">
                  <c:v>6.2300000000000001E-2</c:v>
                </c:pt>
                <c:pt idx="6">
                  <c:v>5.8700000000000002E-2</c:v>
                </c:pt>
                <c:pt idx="7">
                  <c:v>5.5300000000000002E-2</c:v>
                </c:pt>
                <c:pt idx="8">
                  <c:v>5.1999999999999998E-2</c:v>
                </c:pt>
              </c:numCache>
            </c:numRef>
          </c:val>
        </c:ser>
        <c:ser>
          <c:idx val="1"/>
          <c:order val="1"/>
          <c:tx>
            <c:strRef>
              <c:f>Sensitivity!$A$5</c:f>
              <c:strCache>
                <c:ptCount val="1"/>
                <c:pt idx="0">
                  <c:v>Annual Net Electricity Generation</c:v>
                </c:pt>
              </c:strCache>
            </c:strRef>
          </c:tx>
          <c:cat>
            <c:numRef>
              <c:f>Sensitivity!$B$3:$J$3</c:f>
              <c:numCache>
                <c:formatCode>0.0%</c:formatCode>
                <c:ptCount val="9"/>
                <c:pt idx="0" formatCode="0%">
                  <c:v>-0.1</c:v>
                </c:pt>
                <c:pt idx="1">
                  <c:v>-7.4999999999999997E-2</c:v>
                </c:pt>
                <c:pt idx="2">
                  <c:v>-0.05</c:v>
                </c:pt>
                <c:pt idx="3">
                  <c:v>-2.5000000000000001E-2</c:v>
                </c:pt>
                <c:pt idx="4" formatCode="0%">
                  <c:v>0</c:v>
                </c:pt>
                <c:pt idx="5">
                  <c:v>2.5000000000000001E-2</c:v>
                </c:pt>
                <c:pt idx="6">
                  <c:v>0.05</c:v>
                </c:pt>
                <c:pt idx="7">
                  <c:v>7.4999999999999997E-2</c:v>
                </c:pt>
                <c:pt idx="8" formatCode="0%">
                  <c:v>0.1</c:v>
                </c:pt>
              </c:numCache>
            </c:numRef>
          </c:cat>
          <c:val>
            <c:numRef>
              <c:f>Sensitivity!$B$5:$J$5</c:f>
              <c:numCache>
                <c:formatCode>0.00%</c:formatCode>
                <c:ptCount val="9"/>
                <c:pt idx="0">
                  <c:v>4.7899999999999998E-2</c:v>
                </c:pt>
                <c:pt idx="1">
                  <c:v>5.2499999999999998E-2</c:v>
                </c:pt>
                <c:pt idx="2">
                  <c:v>5.7099999999999998E-2</c:v>
                </c:pt>
                <c:pt idx="3">
                  <c:v>6.1499999999999999E-2</c:v>
                </c:pt>
                <c:pt idx="4">
                  <c:v>6.59E-2</c:v>
                </c:pt>
                <c:pt idx="5">
                  <c:v>7.0199999999999999E-2</c:v>
                </c:pt>
                <c:pt idx="6">
                  <c:v>7.4499999999999997E-2</c:v>
                </c:pt>
                <c:pt idx="7">
                  <c:v>7.8600000000000003E-2</c:v>
                </c:pt>
                <c:pt idx="8">
                  <c:v>8.2500000000000004E-2</c:v>
                </c:pt>
              </c:numCache>
            </c:numRef>
          </c:val>
        </c:ser>
        <c:ser>
          <c:idx val="2"/>
          <c:order val="2"/>
          <c:tx>
            <c:strRef>
              <c:f>Sensitivity!$A$6</c:f>
              <c:strCache>
                <c:ptCount val="1"/>
                <c:pt idx="0">
                  <c:v>Tariff (Including VAT)</c:v>
                </c:pt>
              </c:strCache>
            </c:strRef>
          </c:tx>
          <c:cat>
            <c:numRef>
              <c:f>Sensitivity!$B$3:$J$3</c:f>
              <c:numCache>
                <c:formatCode>0.0%</c:formatCode>
                <c:ptCount val="9"/>
                <c:pt idx="0" formatCode="0%">
                  <c:v>-0.1</c:v>
                </c:pt>
                <c:pt idx="1">
                  <c:v>-7.4999999999999997E-2</c:v>
                </c:pt>
                <c:pt idx="2">
                  <c:v>-0.05</c:v>
                </c:pt>
                <c:pt idx="3">
                  <c:v>-2.5000000000000001E-2</c:v>
                </c:pt>
                <c:pt idx="4" formatCode="0%">
                  <c:v>0</c:v>
                </c:pt>
                <c:pt idx="5">
                  <c:v>2.5000000000000001E-2</c:v>
                </c:pt>
                <c:pt idx="6">
                  <c:v>0.05</c:v>
                </c:pt>
                <c:pt idx="7">
                  <c:v>7.4999999999999997E-2</c:v>
                </c:pt>
                <c:pt idx="8" formatCode="0%">
                  <c:v>0.1</c:v>
                </c:pt>
              </c:numCache>
            </c:numRef>
          </c:cat>
          <c:val>
            <c:numRef>
              <c:f>Sensitivity!$B$6:$J$6</c:f>
              <c:numCache>
                <c:formatCode>0.00%</c:formatCode>
                <c:ptCount val="9"/>
                <c:pt idx="0">
                  <c:v>4.7899999999999998E-2</c:v>
                </c:pt>
                <c:pt idx="1">
                  <c:v>5.2499999999999998E-2</c:v>
                </c:pt>
                <c:pt idx="2">
                  <c:v>5.7099999999999998E-2</c:v>
                </c:pt>
                <c:pt idx="3">
                  <c:v>6.1499999999999999E-2</c:v>
                </c:pt>
                <c:pt idx="4">
                  <c:v>6.59E-2</c:v>
                </c:pt>
                <c:pt idx="5">
                  <c:v>7.0199999999999999E-2</c:v>
                </c:pt>
                <c:pt idx="6">
                  <c:v>7.4499999999999997E-2</c:v>
                </c:pt>
                <c:pt idx="7">
                  <c:v>7.8600000000000003E-2</c:v>
                </c:pt>
                <c:pt idx="8">
                  <c:v>8.2500000000000004E-2</c:v>
                </c:pt>
              </c:numCache>
            </c:numRef>
          </c:val>
        </c:ser>
        <c:ser>
          <c:idx val="3"/>
          <c:order val="3"/>
          <c:tx>
            <c:strRef>
              <c:f>Sensitivity!$A$7</c:f>
              <c:strCache>
                <c:ptCount val="1"/>
                <c:pt idx="0">
                  <c:v>Annual O&amp;M Costs</c:v>
                </c:pt>
              </c:strCache>
            </c:strRef>
          </c:tx>
          <c:cat>
            <c:numRef>
              <c:f>Sensitivity!$B$3:$J$3</c:f>
              <c:numCache>
                <c:formatCode>0.0%</c:formatCode>
                <c:ptCount val="9"/>
                <c:pt idx="0" formatCode="0%">
                  <c:v>-0.1</c:v>
                </c:pt>
                <c:pt idx="1">
                  <c:v>-7.4999999999999997E-2</c:v>
                </c:pt>
                <c:pt idx="2">
                  <c:v>-0.05</c:v>
                </c:pt>
                <c:pt idx="3">
                  <c:v>-2.5000000000000001E-2</c:v>
                </c:pt>
                <c:pt idx="4" formatCode="0%">
                  <c:v>0</c:v>
                </c:pt>
                <c:pt idx="5">
                  <c:v>2.5000000000000001E-2</c:v>
                </c:pt>
                <c:pt idx="6">
                  <c:v>0.05</c:v>
                </c:pt>
                <c:pt idx="7">
                  <c:v>7.4999999999999997E-2</c:v>
                </c:pt>
                <c:pt idx="8" formatCode="0%">
                  <c:v>0.1</c:v>
                </c:pt>
              </c:numCache>
            </c:numRef>
          </c:cat>
          <c:val>
            <c:numRef>
              <c:f>Sensitivity!$B$7:$J$7</c:f>
              <c:numCache>
                <c:formatCode>0.00%</c:formatCode>
                <c:ptCount val="9"/>
                <c:pt idx="0">
                  <c:v>7.2099999999999997E-2</c:v>
                </c:pt>
                <c:pt idx="1">
                  <c:v>7.0599999999999996E-2</c:v>
                </c:pt>
                <c:pt idx="2">
                  <c:v>6.9000000000000006E-2</c:v>
                </c:pt>
                <c:pt idx="3">
                  <c:v>6.7500000000000004E-2</c:v>
                </c:pt>
                <c:pt idx="4">
                  <c:v>6.59E-2</c:v>
                </c:pt>
                <c:pt idx="5">
                  <c:v>6.4299999999999996E-2</c:v>
                </c:pt>
                <c:pt idx="6">
                  <c:v>6.2700000000000006E-2</c:v>
                </c:pt>
                <c:pt idx="7">
                  <c:v>6.1100000000000002E-2</c:v>
                </c:pt>
                <c:pt idx="8">
                  <c:v>5.9499999999999997E-2</c:v>
                </c:pt>
              </c:numCache>
            </c:numRef>
          </c:val>
        </c:ser>
        <c:marker val="1"/>
        <c:axId val="82107008"/>
        <c:axId val="82661760"/>
      </c:lineChart>
      <c:catAx>
        <c:axId val="82107008"/>
        <c:scaling>
          <c:orientation val="minMax"/>
        </c:scaling>
        <c:axPos val="b"/>
        <c:numFmt formatCode="0%" sourceLinked="1"/>
        <c:tickLblPos val="nextTo"/>
        <c:crossAx val="82661760"/>
        <c:crosses val="autoZero"/>
        <c:auto val="1"/>
        <c:lblAlgn val="ctr"/>
        <c:lblOffset val="100"/>
      </c:catAx>
      <c:valAx>
        <c:axId val="82661760"/>
        <c:scaling>
          <c:orientation val="minMax"/>
          <c:min val="4.5000000000000012E-2"/>
        </c:scaling>
        <c:axPos val="l"/>
        <c:majorGridlines/>
        <c:numFmt formatCode="0.00%" sourceLinked="1"/>
        <c:tickLblPos val="nextTo"/>
        <c:crossAx val="8210700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444" l="0.70000000000000062" r="0.70000000000000062" t="0.75000000000000444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666750</xdr:colOff>
      <xdr:row>8</xdr:row>
      <xdr:rowOff>76200</xdr:rowOff>
    </xdr:from>
    <xdr:to>
      <xdr:col>9</xdr:col>
      <xdr:colOff>220980</xdr:colOff>
      <xdr:row>16</xdr:row>
      <xdr:rowOff>47625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L62"/>
  <sheetViews>
    <sheetView tabSelected="1" workbookViewId="0">
      <selection activeCell="H11" sqref="H11"/>
    </sheetView>
  </sheetViews>
  <sheetFormatPr defaultColWidth="8.875" defaultRowHeight="15"/>
  <cols>
    <col min="1" max="1" width="3.75" style="28" customWidth="1"/>
    <col min="2" max="2" width="5.375" style="28" customWidth="1"/>
    <col min="3" max="3" width="36.875" style="28" customWidth="1"/>
    <col min="4" max="4" width="12.375" style="45" customWidth="1"/>
    <col min="5" max="5" width="14.5" style="28" customWidth="1"/>
    <col min="6" max="6" width="22.625" style="28" customWidth="1"/>
    <col min="7" max="7" width="2.625" style="28" customWidth="1"/>
    <col min="8" max="8" width="14.75" style="28" customWidth="1"/>
    <col min="9" max="9" width="6.375" style="28" customWidth="1"/>
    <col min="10" max="10" width="12.5" style="28" customWidth="1"/>
    <col min="11" max="11" width="8.75" style="28" customWidth="1"/>
    <col min="12" max="12" width="9.25" style="28" customWidth="1"/>
    <col min="13" max="13" width="8.875" style="28"/>
    <col min="14" max="14" width="7.5" style="28" customWidth="1"/>
    <col min="15" max="16384" width="8.875" style="28"/>
  </cols>
  <sheetData>
    <row r="2" spans="2:9" ht="21">
      <c r="B2" s="97" t="s">
        <v>90</v>
      </c>
      <c r="C2" s="98"/>
      <c r="D2" s="98"/>
      <c r="E2" s="98"/>
      <c r="F2" s="99"/>
    </row>
    <row r="4" spans="2:9">
      <c r="B4" s="29" t="s">
        <v>91</v>
      </c>
      <c r="C4" s="29" t="s">
        <v>92</v>
      </c>
      <c r="D4" s="29" t="s">
        <v>93</v>
      </c>
      <c r="E4" s="29" t="s">
        <v>94</v>
      </c>
      <c r="F4" s="29" t="s">
        <v>95</v>
      </c>
      <c r="G4" s="30"/>
      <c r="H4" s="88" t="s">
        <v>96</v>
      </c>
      <c r="I4" s="87">
        <f>IRR!D74</f>
        <v>6.590649727822176E-2</v>
      </c>
    </row>
    <row r="5" spans="2:9">
      <c r="B5" s="100" t="s">
        <v>97</v>
      </c>
      <c r="C5" s="98"/>
      <c r="D5" s="98"/>
      <c r="E5" s="98"/>
      <c r="F5" s="99"/>
      <c r="G5" s="30"/>
      <c r="H5" s="30"/>
    </row>
    <row r="6" spans="2:9">
      <c r="B6" s="31">
        <v>1</v>
      </c>
      <c r="C6" s="32" t="s">
        <v>98</v>
      </c>
      <c r="D6" s="2">
        <v>49.5</v>
      </c>
      <c r="E6" s="2" t="s">
        <v>99</v>
      </c>
      <c r="F6" s="2" t="s">
        <v>100</v>
      </c>
      <c r="G6" s="33"/>
      <c r="H6" s="30"/>
    </row>
    <row r="7" spans="2:9">
      <c r="B7" s="31">
        <v>2</v>
      </c>
      <c r="C7" s="32" t="s">
        <v>17</v>
      </c>
      <c r="D7" s="95">
        <f>111686.85*Sensitivity!M5</f>
        <v>111686.85</v>
      </c>
      <c r="E7" s="2" t="s">
        <v>101</v>
      </c>
      <c r="F7" s="2" t="s">
        <v>100</v>
      </c>
      <c r="G7" s="33"/>
      <c r="H7" s="30"/>
    </row>
    <row r="8" spans="2:9">
      <c r="B8" s="31">
        <v>3</v>
      </c>
      <c r="C8" s="32" t="s">
        <v>102</v>
      </c>
      <c r="D8" s="86">
        <f>0.58*Sensitivity!M6</f>
        <v>0.57999999999999996</v>
      </c>
      <c r="E8" s="2" t="s">
        <v>103</v>
      </c>
      <c r="F8" s="2" t="s">
        <v>100</v>
      </c>
      <c r="G8" s="33"/>
      <c r="H8" s="30"/>
    </row>
    <row r="9" spans="2:9">
      <c r="B9" s="31">
        <v>4</v>
      </c>
      <c r="C9" s="32" t="s">
        <v>104</v>
      </c>
      <c r="D9" s="34">
        <f>D8/(1+D45)</f>
        <v>0.49572649572649574</v>
      </c>
      <c r="E9" s="2" t="s">
        <v>103</v>
      </c>
      <c r="F9" s="2" t="s">
        <v>100</v>
      </c>
      <c r="G9" s="33"/>
      <c r="H9" s="30"/>
    </row>
    <row r="10" spans="2:9">
      <c r="B10" s="31">
        <v>5</v>
      </c>
      <c r="C10" s="32" t="s">
        <v>105</v>
      </c>
      <c r="D10" s="2">
        <v>1</v>
      </c>
      <c r="E10" s="2" t="s">
        <v>106</v>
      </c>
      <c r="F10" s="2" t="s">
        <v>100</v>
      </c>
      <c r="G10" s="33"/>
      <c r="H10" s="51"/>
    </row>
    <row r="11" spans="2:9">
      <c r="B11" s="31">
        <v>6</v>
      </c>
      <c r="C11" s="32" t="s">
        <v>107</v>
      </c>
      <c r="D11" s="2">
        <v>20</v>
      </c>
      <c r="E11" s="2" t="s">
        <v>108</v>
      </c>
      <c r="F11" s="2" t="s">
        <v>100</v>
      </c>
      <c r="G11" s="33"/>
      <c r="H11" s="50"/>
    </row>
    <row r="12" spans="2:9">
      <c r="B12" s="31">
        <v>7</v>
      </c>
      <c r="C12" s="32" t="s">
        <v>138</v>
      </c>
      <c r="D12" s="2">
        <v>27513.59</v>
      </c>
      <c r="E12" s="2" t="s">
        <v>109</v>
      </c>
      <c r="F12" s="2"/>
      <c r="G12" s="33"/>
      <c r="H12" s="50"/>
    </row>
    <row r="13" spans="2:9">
      <c r="B13" s="31">
        <v>8</v>
      </c>
      <c r="C13" s="32" t="s">
        <v>21</v>
      </c>
      <c r="D13" s="95">
        <f>D12/(1+D45)*D45</f>
        <v>3997.7011111111115</v>
      </c>
      <c r="E13" s="2" t="s">
        <v>109</v>
      </c>
      <c r="F13" s="2" t="s">
        <v>100</v>
      </c>
      <c r="G13" s="33"/>
      <c r="H13" s="30"/>
    </row>
    <row r="14" spans="2:9">
      <c r="B14" s="31">
        <v>9</v>
      </c>
      <c r="C14" s="32" t="s">
        <v>110</v>
      </c>
      <c r="D14" s="35">
        <v>0.7</v>
      </c>
      <c r="E14" s="2"/>
      <c r="F14" s="2" t="s">
        <v>100</v>
      </c>
      <c r="G14" s="33"/>
      <c r="H14" s="30"/>
    </row>
    <row r="15" spans="2:9">
      <c r="B15" s="31">
        <v>10</v>
      </c>
      <c r="C15" s="32" t="s">
        <v>26</v>
      </c>
      <c r="D15" s="35">
        <v>0.1</v>
      </c>
      <c r="E15" s="2"/>
      <c r="F15" s="2" t="s">
        <v>100</v>
      </c>
      <c r="G15" s="33"/>
      <c r="H15" s="30"/>
    </row>
    <row r="16" spans="2:9">
      <c r="B16" s="100" t="s">
        <v>37</v>
      </c>
      <c r="C16" s="98"/>
      <c r="D16" s="98"/>
      <c r="E16" s="98"/>
      <c r="F16" s="99"/>
      <c r="G16" s="33"/>
      <c r="H16" s="30"/>
    </row>
    <row r="17" spans="2:12">
      <c r="B17" s="31">
        <v>1</v>
      </c>
      <c r="C17" s="32" t="s">
        <v>111</v>
      </c>
      <c r="D17" s="35">
        <v>0.05</v>
      </c>
      <c r="E17" s="2"/>
      <c r="F17" s="2" t="s">
        <v>100</v>
      </c>
      <c r="G17" s="33"/>
      <c r="H17" s="30"/>
    </row>
    <row r="18" spans="2:12">
      <c r="B18" s="31">
        <v>2</v>
      </c>
      <c r="C18" s="32" t="s">
        <v>112</v>
      </c>
      <c r="D18" s="2">
        <v>15</v>
      </c>
      <c r="E18" s="2" t="s">
        <v>108</v>
      </c>
      <c r="F18" s="2" t="s">
        <v>100</v>
      </c>
      <c r="G18" s="33"/>
      <c r="H18" s="30"/>
    </row>
    <row r="19" spans="2:12">
      <c r="B19" s="31">
        <v>3</v>
      </c>
      <c r="C19" s="36" t="s">
        <v>27</v>
      </c>
      <c r="D19" s="37">
        <f>(1-D17)/D18</f>
        <v>6.3333333333333325E-2</v>
      </c>
      <c r="E19" s="2"/>
      <c r="F19" s="2" t="s">
        <v>100</v>
      </c>
      <c r="G19" s="30"/>
      <c r="H19" s="30"/>
      <c r="I19" s="33"/>
      <c r="J19" s="33"/>
      <c r="K19" s="33"/>
      <c r="L19" s="33"/>
    </row>
    <row r="20" spans="2:12">
      <c r="B20" s="100" t="s">
        <v>113</v>
      </c>
      <c r="C20" s="98"/>
      <c r="D20" s="98"/>
      <c r="E20" s="98"/>
      <c r="F20" s="99"/>
      <c r="G20" s="33"/>
      <c r="H20" s="30"/>
      <c r="I20" s="33"/>
      <c r="J20" s="33"/>
      <c r="K20" s="33"/>
      <c r="L20" s="33"/>
    </row>
    <row r="21" spans="2:12">
      <c r="B21" s="31">
        <v>1</v>
      </c>
      <c r="C21" s="32" t="s">
        <v>114</v>
      </c>
      <c r="D21" s="95">
        <f>D22+D24</f>
        <v>45507.995278000002</v>
      </c>
      <c r="E21" s="2" t="s">
        <v>20</v>
      </c>
      <c r="F21" s="2" t="s">
        <v>100</v>
      </c>
      <c r="G21" s="33"/>
      <c r="H21" s="33"/>
      <c r="I21" s="33"/>
      <c r="J21" s="33"/>
      <c r="K21" s="33"/>
      <c r="L21" s="33"/>
    </row>
    <row r="22" spans="2:12">
      <c r="B22" s="31">
        <v>2</v>
      </c>
      <c r="C22" s="32" t="s">
        <v>115</v>
      </c>
      <c r="D22" s="95">
        <f>D23+D27</f>
        <v>45359.495278000002</v>
      </c>
      <c r="E22" s="2" t="s">
        <v>20</v>
      </c>
      <c r="F22" s="2" t="s">
        <v>100</v>
      </c>
      <c r="G22" s="33"/>
      <c r="H22" s="30"/>
      <c r="I22" s="38"/>
      <c r="J22" s="33"/>
      <c r="K22" s="33"/>
      <c r="L22" s="33"/>
    </row>
    <row r="23" spans="2:12">
      <c r="B23" s="31">
        <v>3</v>
      </c>
      <c r="C23" s="32" t="s">
        <v>22</v>
      </c>
      <c r="D23" s="95">
        <f>44277.58*Sensitivity!M4</f>
        <v>44277.58</v>
      </c>
      <c r="E23" s="2" t="s">
        <v>20</v>
      </c>
      <c r="F23" s="2" t="s">
        <v>100</v>
      </c>
      <c r="G23" s="33"/>
      <c r="H23" s="52"/>
      <c r="I23" s="41"/>
      <c r="L23" s="33"/>
    </row>
    <row r="24" spans="2:12">
      <c r="B24" s="31">
        <v>4</v>
      </c>
      <c r="C24" s="32" t="s">
        <v>116</v>
      </c>
      <c r="D24" s="2">
        <f>D25*D6/10</f>
        <v>148.5</v>
      </c>
      <c r="E24" s="2" t="s">
        <v>20</v>
      </c>
      <c r="F24" s="2" t="s">
        <v>100</v>
      </c>
      <c r="G24" s="30"/>
      <c r="H24" s="33"/>
      <c r="I24" s="38"/>
    </row>
    <row r="25" spans="2:12">
      <c r="B25" s="2">
        <v>4.0999999999999996</v>
      </c>
      <c r="C25" s="39" t="s">
        <v>23</v>
      </c>
      <c r="D25" s="2">
        <v>30</v>
      </c>
      <c r="E25" s="2" t="s">
        <v>117</v>
      </c>
      <c r="F25" s="2" t="s">
        <v>100</v>
      </c>
      <c r="G25" s="33"/>
      <c r="H25" s="33"/>
      <c r="I25" s="48"/>
    </row>
    <row r="26" spans="2:12">
      <c r="B26" s="31">
        <v>5</v>
      </c>
      <c r="C26" s="89" t="s">
        <v>24</v>
      </c>
      <c r="D26" s="95">
        <f>35241.54*Sensitivity!M4</f>
        <v>35241.54</v>
      </c>
      <c r="E26" s="2" t="s">
        <v>20</v>
      </c>
      <c r="F26" s="2" t="s">
        <v>100</v>
      </c>
      <c r="G26" s="33"/>
    </row>
    <row r="27" spans="2:12">
      <c r="B27" s="31">
        <v>6</v>
      </c>
      <c r="C27" s="89" t="s">
        <v>139</v>
      </c>
      <c r="D27" s="95">
        <f>D26/2*D30</f>
        <v>1081.9152780000002</v>
      </c>
      <c r="E27" s="2" t="s">
        <v>20</v>
      </c>
      <c r="F27" s="2" t="s">
        <v>100</v>
      </c>
      <c r="G27" s="33"/>
      <c r="H27" s="52"/>
      <c r="I27" s="52"/>
    </row>
    <row r="28" spans="2:12">
      <c r="B28" s="31">
        <v>7</v>
      </c>
      <c r="C28" s="32" t="s">
        <v>25</v>
      </c>
      <c r="D28" s="2">
        <f>D24*D14</f>
        <v>103.94999999999999</v>
      </c>
      <c r="E28" s="2" t="s">
        <v>20</v>
      </c>
      <c r="F28" s="2" t="s">
        <v>100</v>
      </c>
      <c r="G28" s="33"/>
      <c r="H28" s="52"/>
      <c r="I28" s="52"/>
    </row>
    <row r="29" spans="2:12">
      <c r="B29" s="31">
        <v>8</v>
      </c>
      <c r="C29" s="32" t="s">
        <v>31</v>
      </c>
      <c r="D29" s="2"/>
      <c r="E29" s="2"/>
      <c r="F29" s="2" t="s">
        <v>100</v>
      </c>
      <c r="G29" s="33"/>
      <c r="H29" s="52"/>
      <c r="I29" s="52"/>
    </row>
    <row r="30" spans="2:12">
      <c r="B30" s="2">
        <v>8.1</v>
      </c>
      <c r="C30" s="1" t="s">
        <v>118</v>
      </c>
      <c r="D30" s="37">
        <v>6.1400000000000003E-2</v>
      </c>
      <c r="E30" s="2"/>
      <c r="F30" s="2" t="s">
        <v>100</v>
      </c>
      <c r="G30" s="33"/>
      <c r="H30" s="52"/>
      <c r="I30" s="52"/>
    </row>
    <row r="31" spans="2:12">
      <c r="B31" s="2">
        <v>8.1999999999999993</v>
      </c>
      <c r="C31" s="1" t="s">
        <v>119</v>
      </c>
      <c r="D31" s="37">
        <v>5.5599999999999997E-2</v>
      </c>
      <c r="E31" s="2"/>
      <c r="F31" s="2" t="s">
        <v>100</v>
      </c>
      <c r="G31" s="33"/>
      <c r="H31" s="52"/>
      <c r="I31" s="52"/>
    </row>
    <row r="32" spans="2:12">
      <c r="B32" s="100" t="s">
        <v>42</v>
      </c>
      <c r="C32" s="98"/>
      <c r="D32" s="98"/>
      <c r="E32" s="98"/>
      <c r="F32" s="99"/>
      <c r="G32" s="33"/>
      <c r="H32" s="52"/>
      <c r="I32" s="52"/>
    </row>
    <row r="33" spans="2:9">
      <c r="B33" s="31">
        <v>1</v>
      </c>
      <c r="C33" s="32" t="s">
        <v>19</v>
      </c>
      <c r="D33" s="44">
        <v>25</v>
      </c>
      <c r="E33" s="2" t="s">
        <v>88</v>
      </c>
      <c r="F33" s="2" t="s">
        <v>100</v>
      </c>
      <c r="G33" s="33"/>
      <c r="H33" s="52"/>
      <c r="I33" s="52"/>
    </row>
    <row r="34" spans="2:9">
      <c r="B34" s="31">
        <v>2</v>
      </c>
      <c r="C34" s="42" t="s">
        <v>120</v>
      </c>
      <c r="D34" s="44">
        <v>7</v>
      </c>
      <c r="E34" s="2" t="s">
        <v>20</v>
      </c>
      <c r="F34" s="2" t="s">
        <v>100</v>
      </c>
      <c r="G34" s="33"/>
      <c r="H34" s="33"/>
    </row>
    <row r="35" spans="2:9">
      <c r="B35" s="31">
        <v>3</v>
      </c>
      <c r="C35" s="43" t="s">
        <v>121</v>
      </c>
      <c r="D35" s="92">
        <f>SUM(D36:D39)</f>
        <v>0.62999999999999989</v>
      </c>
      <c r="E35" s="2"/>
      <c r="F35" s="2" t="s">
        <v>100</v>
      </c>
      <c r="G35" s="33"/>
      <c r="H35" s="33"/>
    </row>
    <row r="36" spans="2:9">
      <c r="B36" s="31">
        <v>3.1</v>
      </c>
      <c r="C36" s="43" t="s">
        <v>140</v>
      </c>
      <c r="D36" s="92">
        <v>0.14000000000000001</v>
      </c>
      <c r="E36" s="2"/>
      <c r="F36" s="2"/>
      <c r="G36" s="33"/>
      <c r="H36" s="33"/>
    </row>
    <row r="37" spans="2:9">
      <c r="B37" s="31">
        <v>3.2</v>
      </c>
      <c r="C37" s="43" t="s">
        <v>141</v>
      </c>
      <c r="D37" s="92">
        <v>0.29499999999999998</v>
      </c>
      <c r="E37" s="2"/>
      <c r="F37" s="2"/>
      <c r="G37" s="33"/>
      <c r="H37" s="33"/>
    </row>
    <row r="38" spans="2:9">
      <c r="B38" s="31">
        <v>3.3</v>
      </c>
      <c r="C38" s="43" t="s">
        <v>142</v>
      </c>
      <c r="D38" s="92">
        <v>0.12</v>
      </c>
      <c r="E38" s="2"/>
      <c r="F38" s="2"/>
      <c r="G38" s="33"/>
      <c r="H38" s="33"/>
    </row>
    <row r="39" spans="2:9">
      <c r="B39" s="31">
        <v>3.4</v>
      </c>
      <c r="C39" s="43" t="s">
        <v>143</v>
      </c>
      <c r="D39" s="93">
        <v>7.4999999999999997E-2</v>
      </c>
      <c r="E39" s="2"/>
      <c r="F39" s="2"/>
      <c r="G39" s="33"/>
      <c r="H39" s="33"/>
    </row>
    <row r="40" spans="2:9">
      <c r="B40" s="31">
        <v>4</v>
      </c>
      <c r="C40" s="32" t="s">
        <v>122</v>
      </c>
      <c r="D40" s="94">
        <v>1.7999999999999999E-2</v>
      </c>
      <c r="E40" s="2"/>
      <c r="F40" s="2" t="s">
        <v>100</v>
      </c>
      <c r="G40" s="33"/>
    </row>
    <row r="41" spans="2:9">
      <c r="B41" s="31">
        <v>5</v>
      </c>
      <c r="C41" s="32" t="s">
        <v>87</v>
      </c>
      <c r="D41" s="81">
        <v>2.5000000000000001E-3</v>
      </c>
      <c r="E41" s="2"/>
      <c r="F41" s="2" t="s">
        <v>100</v>
      </c>
      <c r="G41" s="33"/>
    </row>
    <row r="42" spans="2:9">
      <c r="B42" s="31">
        <v>6</v>
      </c>
      <c r="C42" s="32" t="s">
        <v>123</v>
      </c>
      <c r="D42" s="2">
        <v>80</v>
      </c>
      <c r="E42" s="2" t="s">
        <v>117</v>
      </c>
      <c r="F42" s="2" t="s">
        <v>100</v>
      </c>
      <c r="G42" s="33"/>
      <c r="I42" s="33"/>
    </row>
    <row r="43" spans="2:9">
      <c r="B43" s="31">
        <v>7</v>
      </c>
      <c r="C43" s="32" t="s">
        <v>124</v>
      </c>
      <c r="D43" s="2">
        <v>80</v>
      </c>
      <c r="E43" s="2" t="s">
        <v>117</v>
      </c>
      <c r="F43" s="2" t="s">
        <v>100</v>
      </c>
      <c r="G43" s="33"/>
      <c r="I43" s="33"/>
    </row>
    <row r="44" spans="2:9">
      <c r="B44" s="100" t="s">
        <v>43</v>
      </c>
      <c r="C44" s="98"/>
      <c r="D44" s="98"/>
      <c r="E44" s="98"/>
      <c r="F44" s="99"/>
      <c r="G44" s="33"/>
      <c r="I44" s="33"/>
    </row>
    <row r="45" spans="2:9">
      <c r="B45" s="31">
        <v>1</v>
      </c>
      <c r="C45" s="32" t="s">
        <v>125</v>
      </c>
      <c r="D45" s="35">
        <v>0.17</v>
      </c>
      <c r="E45" s="2"/>
      <c r="F45" s="2" t="s">
        <v>100</v>
      </c>
      <c r="G45" s="33"/>
      <c r="I45" s="33"/>
    </row>
    <row r="46" spans="2:9">
      <c r="B46" s="2">
        <v>1.1000000000000001</v>
      </c>
      <c r="C46" s="39" t="s">
        <v>147</v>
      </c>
      <c r="D46" s="35">
        <v>0.5</v>
      </c>
      <c r="E46" s="2"/>
      <c r="F46" s="2" t="s">
        <v>100</v>
      </c>
      <c r="G46" s="33"/>
      <c r="I46" s="33"/>
    </row>
    <row r="47" spans="2:9">
      <c r="B47" s="31">
        <v>2</v>
      </c>
      <c r="C47" s="32" t="s">
        <v>28</v>
      </c>
      <c r="D47" s="35">
        <v>0.05</v>
      </c>
      <c r="E47" s="2"/>
      <c r="F47" s="2" t="s">
        <v>100</v>
      </c>
      <c r="G47" s="33"/>
    </row>
    <row r="48" spans="2:9">
      <c r="B48" s="31">
        <v>3</v>
      </c>
      <c r="C48" s="32" t="s">
        <v>29</v>
      </c>
      <c r="D48" s="35">
        <v>0.05</v>
      </c>
      <c r="E48" s="2"/>
      <c r="F48" s="2" t="s">
        <v>100</v>
      </c>
      <c r="G48" s="33"/>
      <c r="I48" s="33"/>
    </row>
    <row r="49" spans="2:9">
      <c r="B49" s="31">
        <v>4</v>
      </c>
      <c r="C49" s="32" t="s">
        <v>126</v>
      </c>
      <c r="D49" s="35">
        <v>0.25</v>
      </c>
      <c r="E49" s="2"/>
      <c r="F49" s="2" t="s">
        <v>100</v>
      </c>
      <c r="G49" s="33"/>
    </row>
    <row r="50" spans="2:9">
      <c r="B50" s="100" t="s">
        <v>127</v>
      </c>
      <c r="C50" s="98"/>
      <c r="D50" s="98"/>
      <c r="E50" s="98"/>
      <c r="F50" s="99"/>
      <c r="G50" s="30"/>
    </row>
    <row r="51" spans="2:9">
      <c r="B51" s="31">
        <v>1</v>
      </c>
      <c r="C51" s="89" t="s">
        <v>144</v>
      </c>
      <c r="D51" s="53">
        <v>1.0001</v>
      </c>
      <c r="E51" s="44" t="s">
        <v>128</v>
      </c>
      <c r="F51" s="44" t="s">
        <v>46</v>
      </c>
      <c r="G51" s="33"/>
    </row>
    <row r="52" spans="2:9">
      <c r="B52" s="31">
        <v>2</v>
      </c>
      <c r="C52" s="89" t="s">
        <v>145</v>
      </c>
      <c r="D52" s="44">
        <v>0.58509999999999995</v>
      </c>
      <c r="E52" s="44" t="s">
        <v>128</v>
      </c>
      <c r="F52" s="44" t="s">
        <v>46</v>
      </c>
      <c r="G52" s="33"/>
    </row>
    <row r="53" spans="2:9">
      <c r="B53" s="31">
        <v>3</v>
      </c>
      <c r="C53" s="89" t="s">
        <v>146</v>
      </c>
      <c r="D53" s="53">
        <f>ROUND(D51*0.75+D52*0.25,4)</f>
        <v>0.89639999999999997</v>
      </c>
      <c r="E53" s="44" t="s">
        <v>128</v>
      </c>
      <c r="F53" s="44" t="s">
        <v>89</v>
      </c>
      <c r="G53" s="33"/>
    </row>
    <row r="54" spans="2:9">
      <c r="B54" s="31">
        <v>4</v>
      </c>
      <c r="C54" s="89" t="s">
        <v>129</v>
      </c>
      <c r="D54" s="96">
        <f>D7*D53</f>
        <v>100116.09234</v>
      </c>
      <c r="E54" s="91" t="s">
        <v>150</v>
      </c>
      <c r="F54" s="44" t="s">
        <v>89</v>
      </c>
      <c r="G54" s="33"/>
    </row>
    <row r="55" spans="2:9" ht="16.899999999999999" customHeight="1">
      <c r="B55" s="31">
        <v>5</v>
      </c>
      <c r="C55" s="89" t="s">
        <v>130</v>
      </c>
      <c r="D55" s="96">
        <f>9.5*D56</f>
        <v>95</v>
      </c>
      <c r="E55" s="44" t="s">
        <v>151</v>
      </c>
      <c r="F55" s="44" t="s">
        <v>89</v>
      </c>
      <c r="G55" s="33"/>
    </row>
    <row r="56" spans="2:9">
      <c r="B56" s="31">
        <v>6</v>
      </c>
      <c r="C56" s="89" t="s">
        <v>131</v>
      </c>
      <c r="D56" s="44">
        <v>10</v>
      </c>
      <c r="E56" s="44" t="s">
        <v>45</v>
      </c>
      <c r="F56" s="2"/>
      <c r="G56" s="33"/>
    </row>
    <row r="57" spans="2:9">
      <c r="B57" s="31">
        <v>7</v>
      </c>
      <c r="C57" s="89" t="s">
        <v>30</v>
      </c>
      <c r="D57" s="95">
        <f>D54*D55/10000</f>
        <v>951.10287722999999</v>
      </c>
      <c r="E57" s="90" t="s">
        <v>152</v>
      </c>
      <c r="F57" s="40"/>
    </row>
    <row r="60" spans="2:9">
      <c r="E60" s="49"/>
    </row>
    <row r="61" spans="2:9">
      <c r="I61" s="47"/>
    </row>
    <row r="62" spans="2:9">
      <c r="I62" s="46"/>
    </row>
  </sheetData>
  <mergeCells count="7">
    <mergeCell ref="B2:F2"/>
    <mergeCell ref="B50:F50"/>
    <mergeCell ref="B5:F5"/>
    <mergeCell ref="B20:F20"/>
    <mergeCell ref="B32:F32"/>
    <mergeCell ref="B44:F44"/>
    <mergeCell ref="B16:F16"/>
  </mergeCells>
  <phoneticPr fontId="3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Y77"/>
  <sheetViews>
    <sheetView zoomScale="80" zoomScaleNormal="80" workbookViewId="0">
      <pane xSplit="3" ySplit="2" topLeftCell="D3" activePane="bottomRight" state="frozenSplit"/>
      <selection pane="topRight" activeCell="D1" sqref="D1"/>
      <selection pane="bottomLeft" activeCell="A2" sqref="A2"/>
      <selection pane="bottomRight" activeCell="G27" sqref="G27"/>
    </sheetView>
  </sheetViews>
  <sheetFormatPr defaultColWidth="9" defaultRowHeight="15"/>
  <cols>
    <col min="1" max="1" width="1.5" style="56" customWidth="1"/>
    <col min="2" max="2" width="6.75" style="54" bestFit="1" customWidth="1"/>
    <col min="3" max="3" width="35.25" style="55" customWidth="1"/>
    <col min="4" max="4" width="13.625" style="56" bestFit="1" customWidth="1"/>
    <col min="5" max="5" width="13.125" style="56" bestFit="1" customWidth="1"/>
    <col min="6" max="25" width="12.375" style="56" bestFit="1" customWidth="1"/>
    <col min="26" max="16384" width="9" style="56"/>
  </cols>
  <sheetData>
    <row r="1" spans="2:25">
      <c r="B1" s="54" t="s">
        <v>132</v>
      </c>
      <c r="C1" s="55" t="s">
        <v>32</v>
      </c>
    </row>
    <row r="2" spans="2:25" ht="15.75" thickBot="1">
      <c r="B2" s="57"/>
      <c r="C2" s="58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</row>
    <row r="3" spans="2:25" ht="16.5" thickTop="1" thickBot="1">
      <c r="B3" s="101" t="s">
        <v>135</v>
      </c>
      <c r="C3" s="101"/>
      <c r="D3" s="101"/>
      <c r="E3" s="101"/>
      <c r="F3" s="101"/>
      <c r="G3" s="101"/>
      <c r="H3" s="101"/>
      <c r="I3" s="101"/>
      <c r="J3" s="101"/>
      <c r="K3" s="101"/>
      <c r="L3" s="101"/>
      <c r="M3" s="101"/>
      <c r="N3" s="101"/>
      <c r="O3" s="101"/>
      <c r="P3" s="101"/>
      <c r="Q3" s="101"/>
      <c r="R3" s="101"/>
      <c r="S3" s="101"/>
      <c r="T3" s="101"/>
      <c r="U3" s="101"/>
      <c r="V3" s="101"/>
      <c r="W3" s="101"/>
      <c r="X3" s="101"/>
      <c r="Y3" s="102"/>
    </row>
    <row r="4" spans="2:25" s="54" customFormat="1" ht="15.75" thickTop="1">
      <c r="B4" s="60" t="s">
        <v>83</v>
      </c>
      <c r="C4" s="61"/>
      <c r="D4" s="62" t="s">
        <v>84</v>
      </c>
      <c r="E4" s="63">
        <v>1</v>
      </c>
      <c r="F4" s="63">
        <v>2</v>
      </c>
      <c r="G4" s="63">
        <v>3</v>
      </c>
      <c r="H4" s="63">
        <v>4</v>
      </c>
      <c r="I4" s="63">
        <v>5</v>
      </c>
      <c r="J4" s="63">
        <v>6</v>
      </c>
      <c r="K4" s="63">
        <v>7</v>
      </c>
      <c r="L4" s="63">
        <v>8</v>
      </c>
      <c r="M4" s="63">
        <v>9</v>
      </c>
      <c r="N4" s="63">
        <v>10</v>
      </c>
      <c r="O4" s="63">
        <v>11</v>
      </c>
      <c r="P4" s="63">
        <v>12</v>
      </c>
      <c r="Q4" s="63">
        <v>13</v>
      </c>
      <c r="R4" s="63">
        <v>14</v>
      </c>
      <c r="S4" s="63">
        <v>15</v>
      </c>
      <c r="T4" s="63">
        <v>16</v>
      </c>
      <c r="U4" s="63">
        <v>17</v>
      </c>
      <c r="V4" s="63">
        <v>18</v>
      </c>
      <c r="W4" s="63">
        <v>19</v>
      </c>
      <c r="X4" s="63">
        <v>20</v>
      </c>
      <c r="Y4" s="64">
        <v>21</v>
      </c>
    </row>
    <row r="5" spans="2:25" s="68" customFormat="1">
      <c r="B5" s="65">
        <v>1</v>
      </c>
      <c r="C5" s="66" t="s">
        <v>133</v>
      </c>
      <c r="D5" s="67">
        <f>SUM(F5:Y5)</f>
        <v>14500.756399999993</v>
      </c>
      <c r="E5" s="67"/>
      <c r="F5" s="67">
        <f>(Parameters!$D$23-Parameters!$D$13)*Parameters!$D$40</f>
        <v>725.0378199999999</v>
      </c>
      <c r="G5" s="67">
        <f>(Parameters!$D$23-Parameters!$D$13)*Parameters!$D$40</f>
        <v>725.0378199999999</v>
      </c>
      <c r="H5" s="67">
        <f>(Parameters!$D$23-Parameters!$D$13)*Parameters!$D$40</f>
        <v>725.0378199999999</v>
      </c>
      <c r="I5" s="67">
        <f>(Parameters!$D$23-Parameters!$D$13)*Parameters!$D$40</f>
        <v>725.0378199999999</v>
      </c>
      <c r="J5" s="67">
        <f>(Parameters!$D$23-Parameters!$D$13)*Parameters!$D$40</f>
        <v>725.0378199999999</v>
      </c>
      <c r="K5" s="67">
        <f>(Parameters!$D$23-Parameters!$D$13)*Parameters!$D$40</f>
        <v>725.0378199999999</v>
      </c>
      <c r="L5" s="67">
        <f>(Parameters!$D$23-Parameters!$D$13)*Parameters!$D$40</f>
        <v>725.0378199999999</v>
      </c>
      <c r="M5" s="67">
        <f>(Parameters!$D$23-Parameters!$D$13)*Parameters!$D$40</f>
        <v>725.0378199999999</v>
      </c>
      <c r="N5" s="67">
        <f>(Parameters!$D$23-Parameters!$D$13)*Parameters!$D$40</f>
        <v>725.0378199999999</v>
      </c>
      <c r="O5" s="67">
        <f>(Parameters!$D$23-Parameters!$D$13)*Parameters!$D$40</f>
        <v>725.0378199999999</v>
      </c>
      <c r="P5" s="67">
        <f>(Parameters!$D$23-Parameters!$D$13)*Parameters!$D$40</f>
        <v>725.0378199999999</v>
      </c>
      <c r="Q5" s="67">
        <f>(Parameters!$D$23-Parameters!$D$13)*Parameters!$D$40</f>
        <v>725.0378199999999</v>
      </c>
      <c r="R5" s="67">
        <f>(Parameters!$D$23-Parameters!$D$13)*Parameters!$D$40</f>
        <v>725.0378199999999</v>
      </c>
      <c r="S5" s="67">
        <f>(Parameters!$D$23-Parameters!$D$13)*Parameters!$D$40</f>
        <v>725.0378199999999</v>
      </c>
      <c r="T5" s="67">
        <f>(Parameters!$D$23-Parameters!$D$13)*Parameters!$D$40</f>
        <v>725.0378199999999</v>
      </c>
      <c r="U5" s="67">
        <f>(Parameters!$D$23-Parameters!$D$13)*Parameters!$D$40</f>
        <v>725.0378199999999</v>
      </c>
      <c r="V5" s="67">
        <f>(Parameters!$D$23-Parameters!$D$13)*Parameters!$D$40</f>
        <v>725.0378199999999</v>
      </c>
      <c r="W5" s="67">
        <f>(Parameters!$D$23-Parameters!$D$13)*Parameters!$D$40</f>
        <v>725.0378199999999</v>
      </c>
      <c r="X5" s="67">
        <f>(Parameters!$D$23-Parameters!$D$13)*Parameters!$D$40</f>
        <v>725.0378199999999</v>
      </c>
      <c r="Y5" s="67">
        <f>(Parameters!$D$23-Parameters!$D$13)*Parameters!$D$40</f>
        <v>725.0378199999999</v>
      </c>
    </row>
    <row r="6" spans="2:25" s="68" customFormat="1">
      <c r="B6" s="65">
        <v>2</v>
      </c>
      <c r="C6" s="66" t="s">
        <v>33</v>
      </c>
      <c r="D6" s="67">
        <f>SUM(F6:Y6)</f>
        <v>5705</v>
      </c>
      <c r="E6" s="67"/>
      <c r="F6" s="67">
        <f>Parameters!$D$34*Parameters!$D$33*(1+Parameters!$D$35)</f>
        <v>285.25</v>
      </c>
      <c r="G6" s="67">
        <f>Parameters!$D$34*Parameters!$D$33*(1+Parameters!$D$35)</f>
        <v>285.25</v>
      </c>
      <c r="H6" s="67">
        <f>Parameters!$D$34*Parameters!$D$33*(1+Parameters!$D$35)</f>
        <v>285.25</v>
      </c>
      <c r="I6" s="67">
        <f>Parameters!$D$34*Parameters!$D$33*(1+Parameters!$D$35)</f>
        <v>285.25</v>
      </c>
      <c r="J6" s="67">
        <f>Parameters!$D$34*Parameters!$D$33*(1+Parameters!$D$35)</f>
        <v>285.25</v>
      </c>
      <c r="K6" s="67">
        <f>Parameters!$D$34*Parameters!$D$33*(1+Parameters!$D$35)</f>
        <v>285.25</v>
      </c>
      <c r="L6" s="67">
        <f>Parameters!$D$34*Parameters!$D$33*(1+Parameters!$D$35)</f>
        <v>285.25</v>
      </c>
      <c r="M6" s="67">
        <f>Parameters!$D$34*Parameters!$D$33*(1+Parameters!$D$35)</f>
        <v>285.25</v>
      </c>
      <c r="N6" s="67">
        <f>Parameters!$D$34*Parameters!$D$33*(1+Parameters!$D$35)</f>
        <v>285.25</v>
      </c>
      <c r="O6" s="67">
        <f>Parameters!$D$34*Parameters!$D$33*(1+Parameters!$D$35)</f>
        <v>285.25</v>
      </c>
      <c r="P6" s="67">
        <f>Parameters!$D$34*Parameters!$D$33*(1+Parameters!$D$35)</f>
        <v>285.25</v>
      </c>
      <c r="Q6" s="67">
        <f>Parameters!$D$34*Parameters!$D$33*(1+Parameters!$D$35)</f>
        <v>285.25</v>
      </c>
      <c r="R6" s="67">
        <f>Parameters!$D$34*Parameters!$D$33*(1+Parameters!$D$35)</f>
        <v>285.25</v>
      </c>
      <c r="S6" s="67">
        <f>Parameters!$D$34*Parameters!$D$33*(1+Parameters!$D$35)</f>
        <v>285.25</v>
      </c>
      <c r="T6" s="67">
        <f>Parameters!$D$34*Parameters!$D$33*(1+Parameters!$D$35)</f>
        <v>285.25</v>
      </c>
      <c r="U6" s="67">
        <f>Parameters!$D$34*Parameters!$D$33*(1+Parameters!$D$35)</f>
        <v>285.25</v>
      </c>
      <c r="V6" s="67">
        <f>Parameters!$D$34*Parameters!$D$33*(1+Parameters!$D$35)</f>
        <v>285.25</v>
      </c>
      <c r="W6" s="67">
        <f>Parameters!$D$34*Parameters!$D$33*(1+Parameters!$D$35)</f>
        <v>285.25</v>
      </c>
      <c r="X6" s="67">
        <f>Parameters!$D$34*Parameters!$D$33*(1+Parameters!$D$35)</f>
        <v>285.25</v>
      </c>
      <c r="Y6" s="67">
        <f>Parameters!$D$34*Parameters!$D$33*(1+Parameters!$D$35)</f>
        <v>285.25</v>
      </c>
    </row>
    <row r="7" spans="2:25" s="68" customFormat="1">
      <c r="B7" s="65">
        <v>3</v>
      </c>
      <c r="C7" s="66" t="s">
        <v>34</v>
      </c>
      <c r="D7" s="67">
        <f t="shared" ref="D7:D13" si="0">SUM(F7:Y7)</f>
        <v>2013.9939444444451</v>
      </c>
      <c r="E7" s="67"/>
      <c r="F7" s="67">
        <f>(Parameters!$D$23-Parameters!$D$13)*Parameters!$D$41</f>
        <v>100.69969722222223</v>
      </c>
      <c r="G7" s="67">
        <f>(Parameters!$D$23-Parameters!$D$13)*Parameters!$D$41</f>
        <v>100.69969722222223</v>
      </c>
      <c r="H7" s="67">
        <f>(Parameters!$D$23-Parameters!$D$13)*Parameters!$D$41</f>
        <v>100.69969722222223</v>
      </c>
      <c r="I7" s="67">
        <f>(Parameters!$D$23-Parameters!$D$13)*Parameters!$D$41</f>
        <v>100.69969722222223</v>
      </c>
      <c r="J7" s="67">
        <f>(Parameters!$D$23-Parameters!$D$13)*Parameters!$D$41</f>
        <v>100.69969722222223</v>
      </c>
      <c r="K7" s="67">
        <f>(Parameters!$D$23-Parameters!$D$13)*Parameters!$D$41</f>
        <v>100.69969722222223</v>
      </c>
      <c r="L7" s="67">
        <f>(Parameters!$D$23-Parameters!$D$13)*Parameters!$D$41</f>
        <v>100.69969722222223</v>
      </c>
      <c r="M7" s="67">
        <f>(Parameters!$D$23-Parameters!$D$13)*Parameters!$D$41</f>
        <v>100.69969722222223</v>
      </c>
      <c r="N7" s="67">
        <f>(Parameters!$D$23-Parameters!$D$13)*Parameters!$D$41</f>
        <v>100.69969722222223</v>
      </c>
      <c r="O7" s="67">
        <f>(Parameters!$D$23-Parameters!$D$13)*Parameters!$D$41</f>
        <v>100.69969722222223</v>
      </c>
      <c r="P7" s="67">
        <f>(Parameters!$D$23-Parameters!$D$13)*Parameters!$D$41</f>
        <v>100.69969722222223</v>
      </c>
      <c r="Q7" s="67">
        <f>(Parameters!$D$23-Parameters!$D$13)*Parameters!$D$41</f>
        <v>100.69969722222223</v>
      </c>
      <c r="R7" s="67">
        <f>(Parameters!$D$23-Parameters!$D$13)*Parameters!$D$41</f>
        <v>100.69969722222223</v>
      </c>
      <c r="S7" s="67">
        <f>(Parameters!$D$23-Parameters!$D$13)*Parameters!$D$41</f>
        <v>100.69969722222223</v>
      </c>
      <c r="T7" s="67">
        <f>(Parameters!$D$23-Parameters!$D$13)*Parameters!$D$41</f>
        <v>100.69969722222223</v>
      </c>
      <c r="U7" s="67">
        <f>(Parameters!$D$23-Parameters!$D$13)*Parameters!$D$41</f>
        <v>100.69969722222223</v>
      </c>
      <c r="V7" s="67">
        <f>(Parameters!$D$23-Parameters!$D$13)*Parameters!$D$41</f>
        <v>100.69969722222223</v>
      </c>
      <c r="W7" s="67">
        <f>(Parameters!$D$23-Parameters!$D$13)*Parameters!$D$41</f>
        <v>100.69969722222223</v>
      </c>
      <c r="X7" s="67">
        <f>(Parameters!$D$23-Parameters!$D$13)*Parameters!$D$41</f>
        <v>100.69969722222223</v>
      </c>
      <c r="Y7" s="67">
        <f>(Parameters!$D$23-Parameters!$D$13)*Parameters!$D$41</f>
        <v>100.69969722222223</v>
      </c>
    </row>
    <row r="8" spans="2:25" s="68" customFormat="1">
      <c r="B8" s="65">
        <v>4</v>
      </c>
      <c r="C8" s="66" t="s">
        <v>35</v>
      </c>
      <c r="D8" s="67">
        <f t="shared" si="0"/>
        <v>7920</v>
      </c>
      <c r="E8" s="67"/>
      <c r="F8" s="67">
        <f>Parameters!$D$42*Parameters!$D$6/10</f>
        <v>396</v>
      </c>
      <c r="G8" s="67">
        <f>Parameters!$D$42*Parameters!$D$6/10</f>
        <v>396</v>
      </c>
      <c r="H8" s="67">
        <f>Parameters!$D$42*Parameters!$D$6/10</f>
        <v>396</v>
      </c>
      <c r="I8" s="67">
        <f>Parameters!$D$42*Parameters!$D$6/10</f>
        <v>396</v>
      </c>
      <c r="J8" s="67">
        <f>Parameters!$D$42*Parameters!$D$6/10</f>
        <v>396</v>
      </c>
      <c r="K8" s="67">
        <f>Parameters!$D$42*Parameters!$D$6/10</f>
        <v>396</v>
      </c>
      <c r="L8" s="67">
        <f>Parameters!$D$42*Parameters!$D$6/10</f>
        <v>396</v>
      </c>
      <c r="M8" s="67">
        <f>Parameters!$D$42*Parameters!$D$6/10</f>
        <v>396</v>
      </c>
      <c r="N8" s="67">
        <f>Parameters!$D$42*Parameters!$D$6/10</f>
        <v>396</v>
      </c>
      <c r="O8" s="67">
        <f>Parameters!$D$42*Parameters!$D$6/10</f>
        <v>396</v>
      </c>
      <c r="P8" s="67">
        <f>Parameters!$D$42*Parameters!$D$6/10</f>
        <v>396</v>
      </c>
      <c r="Q8" s="67">
        <f>Parameters!$D$42*Parameters!$D$6/10</f>
        <v>396</v>
      </c>
      <c r="R8" s="67">
        <f>Parameters!$D$42*Parameters!$D$6/10</f>
        <v>396</v>
      </c>
      <c r="S8" s="67">
        <f>Parameters!$D$42*Parameters!$D$6/10</f>
        <v>396</v>
      </c>
      <c r="T8" s="67">
        <f>Parameters!$D$42*Parameters!$D$6/10</f>
        <v>396</v>
      </c>
      <c r="U8" s="67">
        <f>Parameters!$D$42*Parameters!$D$6/10</f>
        <v>396</v>
      </c>
      <c r="V8" s="67">
        <f>Parameters!$D$42*Parameters!$D$6/10</f>
        <v>396</v>
      </c>
      <c r="W8" s="67">
        <f>Parameters!$D$42*Parameters!$D$6/10</f>
        <v>396</v>
      </c>
      <c r="X8" s="67">
        <f>Parameters!$D$42*Parameters!$D$6/10</f>
        <v>396</v>
      </c>
      <c r="Y8" s="67">
        <f>Parameters!$D$42*Parameters!$D$6/10</f>
        <v>396</v>
      </c>
    </row>
    <row r="9" spans="2:25" s="68" customFormat="1">
      <c r="B9" s="65">
        <v>5</v>
      </c>
      <c r="C9" s="66" t="s">
        <v>36</v>
      </c>
      <c r="D9" s="67">
        <f t="shared" si="0"/>
        <v>7920</v>
      </c>
      <c r="E9" s="67"/>
      <c r="F9" s="67">
        <f>Parameters!$D$43*Parameters!$D$6/10</f>
        <v>396</v>
      </c>
      <c r="G9" s="67">
        <f>Parameters!$D$43*Parameters!$D$6/10</f>
        <v>396</v>
      </c>
      <c r="H9" s="67">
        <f>Parameters!$D$43*Parameters!$D$6/10</f>
        <v>396</v>
      </c>
      <c r="I9" s="67">
        <f>Parameters!$D$43*Parameters!$D$6/10</f>
        <v>396</v>
      </c>
      <c r="J9" s="67">
        <f>Parameters!$D$43*Parameters!$D$6/10</f>
        <v>396</v>
      </c>
      <c r="K9" s="67">
        <f>Parameters!$D$43*Parameters!$D$6/10</f>
        <v>396</v>
      </c>
      <c r="L9" s="67">
        <f>Parameters!$D$43*Parameters!$D$6/10</f>
        <v>396</v>
      </c>
      <c r="M9" s="67">
        <f>Parameters!$D$43*Parameters!$D$6/10</f>
        <v>396</v>
      </c>
      <c r="N9" s="67">
        <f>Parameters!$D$43*Parameters!$D$6/10</f>
        <v>396</v>
      </c>
      <c r="O9" s="67">
        <f>Parameters!$D$43*Parameters!$D$6/10</f>
        <v>396</v>
      </c>
      <c r="P9" s="67">
        <f>Parameters!$D$43*Parameters!$D$6/10</f>
        <v>396</v>
      </c>
      <c r="Q9" s="67">
        <f>Parameters!$D$43*Parameters!$D$6/10</f>
        <v>396</v>
      </c>
      <c r="R9" s="67">
        <f>Parameters!$D$43*Parameters!$D$6/10</f>
        <v>396</v>
      </c>
      <c r="S9" s="67">
        <f>Parameters!$D$43*Parameters!$D$6/10</f>
        <v>396</v>
      </c>
      <c r="T9" s="67">
        <f>Parameters!$D$43*Parameters!$D$6/10</f>
        <v>396</v>
      </c>
      <c r="U9" s="67">
        <f>Parameters!$D$43*Parameters!$D$6/10</f>
        <v>396</v>
      </c>
      <c r="V9" s="67">
        <f>Parameters!$D$43*Parameters!$D$6/10</f>
        <v>396</v>
      </c>
      <c r="W9" s="67">
        <f>Parameters!$D$43*Parameters!$D$6/10</f>
        <v>396</v>
      </c>
      <c r="X9" s="67">
        <f>Parameters!$D$43*Parameters!$D$6/10</f>
        <v>396</v>
      </c>
      <c r="Y9" s="67">
        <f>Parameters!$D$43*Parameters!$D$6/10</f>
        <v>396</v>
      </c>
    </row>
    <row r="10" spans="2:25" s="68" customFormat="1">
      <c r="B10" s="65">
        <v>6</v>
      </c>
      <c r="C10" s="66" t="s">
        <v>37</v>
      </c>
      <c r="D10" s="67">
        <f>SUM(F10:Y10)</f>
        <v>39293.704458544431</v>
      </c>
      <c r="E10" s="67"/>
      <c r="F10" s="67">
        <f>(Parameters!$D$23+Parameters!$D$27-Parameters!$D$13)*Parameters!$D$19</f>
        <v>2619.5802972362958</v>
      </c>
      <c r="G10" s="67">
        <f>(Parameters!$D$23+Parameters!$D$27-Parameters!$D$13)*Parameters!$D$19</f>
        <v>2619.5802972362958</v>
      </c>
      <c r="H10" s="67">
        <f>(Parameters!$D$23+Parameters!$D$27-Parameters!$D$13)*Parameters!$D$19</f>
        <v>2619.5802972362958</v>
      </c>
      <c r="I10" s="67">
        <f>(Parameters!$D$23+Parameters!$D$27-Parameters!$D$13)*Parameters!$D$19</f>
        <v>2619.5802972362958</v>
      </c>
      <c r="J10" s="67">
        <f>(Parameters!$D$23+Parameters!$D$27-Parameters!$D$13)*Parameters!$D$19</f>
        <v>2619.5802972362958</v>
      </c>
      <c r="K10" s="67">
        <f>(Parameters!$D$23+Parameters!$D$27-Parameters!$D$13)*Parameters!$D$19</f>
        <v>2619.5802972362958</v>
      </c>
      <c r="L10" s="67">
        <f>(Parameters!$D$23+Parameters!$D$27-Parameters!$D$13)*Parameters!$D$19</f>
        <v>2619.5802972362958</v>
      </c>
      <c r="M10" s="67">
        <f>(Parameters!$D$23+Parameters!$D$27-Parameters!$D$13)*Parameters!$D$19</f>
        <v>2619.5802972362958</v>
      </c>
      <c r="N10" s="67">
        <f>(Parameters!$D$23+Parameters!$D$27-Parameters!$D$13)*Parameters!$D$19</f>
        <v>2619.5802972362958</v>
      </c>
      <c r="O10" s="67">
        <f>(Parameters!$D$23+Parameters!$D$27-Parameters!$D$13)*Parameters!$D$19</f>
        <v>2619.5802972362958</v>
      </c>
      <c r="P10" s="67">
        <f>(Parameters!$D$23+Parameters!$D$27-Parameters!$D$13)*Parameters!$D$19</f>
        <v>2619.5802972362958</v>
      </c>
      <c r="Q10" s="67">
        <f>(Parameters!$D$23+Parameters!$D$27-Parameters!$D$13)*Parameters!$D$19</f>
        <v>2619.5802972362958</v>
      </c>
      <c r="R10" s="67">
        <f>(Parameters!$D$23+Parameters!$D$27-Parameters!$D$13)*Parameters!$D$19</f>
        <v>2619.5802972362958</v>
      </c>
      <c r="S10" s="67">
        <f>(Parameters!$D$23+Parameters!$D$27-Parameters!$D$13)*Parameters!$D$19</f>
        <v>2619.5802972362958</v>
      </c>
      <c r="T10" s="67">
        <f>(Parameters!$D$23+Parameters!$D$27-Parameters!$D$13)*Parameters!$D$19</f>
        <v>2619.5802972362958</v>
      </c>
      <c r="U10" s="67"/>
      <c r="V10" s="67"/>
      <c r="W10" s="67"/>
      <c r="X10" s="67"/>
      <c r="Y10" s="69"/>
    </row>
    <row r="11" spans="2:25" s="68" customFormat="1">
      <c r="B11" s="65">
        <v>7</v>
      </c>
      <c r="C11" s="66" t="s">
        <v>38</v>
      </c>
      <c r="D11" s="67">
        <f t="shared" si="0"/>
        <v>17957.673632553608</v>
      </c>
      <c r="E11" s="67"/>
      <c r="F11" s="67">
        <f>F26+Parameters!$D$28*Parameters!$D$31</f>
        <v>2236.0397740692001</v>
      </c>
      <c r="G11" s="67">
        <f>G26+Parameters!$D$28*Parameters!$D$31</f>
        <v>2087.3557637979197</v>
      </c>
      <c r="H11" s="67">
        <f>H26+Parameters!$D$28*Parameters!$D$31</f>
        <v>1938.67175352664</v>
      </c>
      <c r="I11" s="67">
        <f>I26+Parameters!$D$28*Parameters!$D$31</f>
        <v>1789.9877432553601</v>
      </c>
      <c r="J11" s="67">
        <f>J26+Parameters!$D$28*Parameters!$D$31</f>
        <v>1641.3037329840802</v>
      </c>
      <c r="K11" s="67">
        <f>K26+Parameters!$D$28*Parameters!$D$31</f>
        <v>1492.6197227128002</v>
      </c>
      <c r="L11" s="67">
        <f>L26+Parameters!$D$28*Parameters!$D$31</f>
        <v>1343.9357124415203</v>
      </c>
      <c r="M11" s="67">
        <f>M26+Parameters!$D$28*Parameters!$D$31</f>
        <v>1195.2517021702404</v>
      </c>
      <c r="N11" s="67">
        <f>N26+Parameters!$D$28*Parameters!$D$31</f>
        <v>1046.5676918989604</v>
      </c>
      <c r="O11" s="67">
        <f>O26+Parameters!$D$28*Parameters!$D$31</f>
        <v>897.8836816276804</v>
      </c>
      <c r="P11" s="67">
        <f>P26+Parameters!$D$28*Parameters!$D$31</f>
        <v>749.19967135640036</v>
      </c>
      <c r="Q11" s="67">
        <f>Q26+Parameters!$D$28*Parameters!$D$31</f>
        <v>600.51566108512031</v>
      </c>
      <c r="R11" s="67">
        <f>R26+Parameters!$D$28*Parameters!$D$31</f>
        <v>451.83165081384027</v>
      </c>
      <c r="S11" s="67">
        <f>S26+Parameters!$D$28*Parameters!$D$31</f>
        <v>303.14764054256023</v>
      </c>
      <c r="T11" s="67">
        <f>T26+Parameters!$D$28*Parameters!$D$31</f>
        <v>154.46363027128018</v>
      </c>
      <c r="U11" s="67">
        <f>U26+Parameters!$D$28*Parameters!$D$31</f>
        <v>5.7796199999999986</v>
      </c>
      <c r="V11" s="67">
        <f>V26+Parameters!$D$28*Parameters!$D$31</f>
        <v>5.7796199999999986</v>
      </c>
      <c r="W11" s="67">
        <f>W26+Parameters!$D$28*Parameters!$D$31</f>
        <v>5.7796199999999986</v>
      </c>
      <c r="X11" s="67">
        <f>X26+Parameters!$D$28*Parameters!$D$31</f>
        <v>5.7796199999999986</v>
      </c>
      <c r="Y11" s="67">
        <f>Y26+Parameters!$D$28*Parameters!$D$31</f>
        <v>5.7796199999999986</v>
      </c>
    </row>
    <row r="12" spans="2:25" s="68" customFormat="1">
      <c r="B12" s="65"/>
      <c r="C12" s="66" t="s">
        <v>78</v>
      </c>
      <c r="D12" s="67">
        <f>SUM(F12:Y12)</f>
        <v>38059.750344444459</v>
      </c>
      <c r="E12" s="67"/>
      <c r="F12" s="67">
        <f>SUM(F5:F9)*Sensitivity!$M$7</f>
        <v>1902.9875172222221</v>
      </c>
      <c r="G12" s="67">
        <f>SUM(G5:G9)*Sensitivity!$M$7</f>
        <v>1902.9875172222221</v>
      </c>
      <c r="H12" s="67">
        <f>SUM(H5:H9)*Sensitivity!$M$7</f>
        <v>1902.9875172222221</v>
      </c>
      <c r="I12" s="67">
        <f>SUM(I5:I9)*Sensitivity!$M$7</f>
        <v>1902.9875172222221</v>
      </c>
      <c r="J12" s="67">
        <f>SUM(J5:J9)*Sensitivity!$M$7</f>
        <v>1902.9875172222221</v>
      </c>
      <c r="K12" s="67">
        <f>SUM(K5:K9)*Sensitivity!$M$7</f>
        <v>1902.9875172222221</v>
      </c>
      <c r="L12" s="67">
        <f>SUM(L5:L9)*Sensitivity!$M$7</f>
        <v>1902.9875172222221</v>
      </c>
      <c r="M12" s="67">
        <f>SUM(M5:M9)*Sensitivity!$M$7</f>
        <v>1902.9875172222221</v>
      </c>
      <c r="N12" s="67">
        <f>SUM(N5:N9)*Sensitivity!$M$7</f>
        <v>1902.9875172222221</v>
      </c>
      <c r="O12" s="67">
        <f>SUM(O5:O9)*Sensitivity!$M$7</f>
        <v>1902.9875172222221</v>
      </c>
      <c r="P12" s="67">
        <f>SUM(P5:P9)*Sensitivity!$M$7</f>
        <v>1902.9875172222221</v>
      </c>
      <c r="Q12" s="67">
        <f>SUM(Q5:Q9)*Sensitivity!$M$7</f>
        <v>1902.9875172222221</v>
      </c>
      <c r="R12" s="67">
        <f>SUM(R5:R9)*Sensitivity!$M$7</f>
        <v>1902.9875172222221</v>
      </c>
      <c r="S12" s="67">
        <f>SUM(S5:S9)*Sensitivity!$M$7</f>
        <v>1902.9875172222221</v>
      </c>
      <c r="T12" s="67">
        <f>SUM(T5:T9)*Sensitivity!$M$7</f>
        <v>1902.9875172222221</v>
      </c>
      <c r="U12" s="67">
        <f>SUM(U5:U9)*Sensitivity!$M$7</f>
        <v>1902.9875172222221</v>
      </c>
      <c r="V12" s="67">
        <f>SUM(V5:V9)*Sensitivity!$M$7</f>
        <v>1902.9875172222221</v>
      </c>
      <c r="W12" s="67">
        <f>SUM(W5:W9)*Sensitivity!$M$7</f>
        <v>1902.9875172222221</v>
      </c>
      <c r="X12" s="67">
        <f>SUM(X5:X9)*Sensitivity!$M$7</f>
        <v>1902.9875172222221</v>
      </c>
      <c r="Y12" s="67">
        <f>SUM(Y5:Y9)*Sensitivity!$M$7</f>
        <v>1902.9875172222221</v>
      </c>
    </row>
    <row r="13" spans="2:25" s="68" customFormat="1">
      <c r="B13" s="65"/>
      <c r="C13" s="66" t="s">
        <v>39</v>
      </c>
      <c r="D13" s="67">
        <f t="shared" si="0"/>
        <v>95311.128435542501</v>
      </c>
      <c r="E13" s="67"/>
      <c r="F13" s="67">
        <f>SUM(F5:F11)</f>
        <v>6758.6075885277187</v>
      </c>
      <c r="G13" s="67">
        <f t="shared" ref="G13:Y13" si="1">SUM(G5:G11)</f>
        <v>6609.9235782564374</v>
      </c>
      <c r="H13" s="67">
        <f t="shared" si="1"/>
        <v>6461.2395679851579</v>
      </c>
      <c r="I13" s="67">
        <f t="shared" si="1"/>
        <v>6312.5555577138784</v>
      </c>
      <c r="J13" s="67">
        <f t="shared" si="1"/>
        <v>6163.8715474425981</v>
      </c>
      <c r="K13" s="67">
        <f t="shared" si="1"/>
        <v>6015.1875371713186</v>
      </c>
      <c r="L13" s="67">
        <f t="shared" si="1"/>
        <v>5866.5035269000382</v>
      </c>
      <c r="M13" s="67">
        <f t="shared" si="1"/>
        <v>5717.8195166287587</v>
      </c>
      <c r="N13" s="67">
        <f t="shared" si="1"/>
        <v>5569.1355063574783</v>
      </c>
      <c r="O13" s="67">
        <f t="shared" si="1"/>
        <v>5420.4514960861989</v>
      </c>
      <c r="P13" s="67">
        <f t="shared" si="1"/>
        <v>5271.7674858149185</v>
      </c>
      <c r="Q13" s="67">
        <f t="shared" si="1"/>
        <v>5123.0834755436381</v>
      </c>
      <c r="R13" s="67">
        <f t="shared" si="1"/>
        <v>4974.3994652723586</v>
      </c>
      <c r="S13" s="67">
        <f t="shared" si="1"/>
        <v>4825.7154550010782</v>
      </c>
      <c r="T13" s="67">
        <f t="shared" si="1"/>
        <v>4677.0314447297987</v>
      </c>
      <c r="U13" s="67">
        <f t="shared" si="1"/>
        <v>1908.7671372222221</v>
      </c>
      <c r="V13" s="67">
        <f t="shared" si="1"/>
        <v>1908.7671372222221</v>
      </c>
      <c r="W13" s="67">
        <f t="shared" si="1"/>
        <v>1908.7671372222221</v>
      </c>
      <c r="X13" s="67">
        <f t="shared" si="1"/>
        <v>1908.7671372222221</v>
      </c>
      <c r="Y13" s="67">
        <f t="shared" si="1"/>
        <v>1908.7671372222221</v>
      </c>
    </row>
    <row r="14" spans="2:25">
      <c r="B14" s="57"/>
      <c r="C14" s="58"/>
      <c r="D14" s="59"/>
      <c r="E14" s="59"/>
      <c r="F14" s="59"/>
      <c r="G14" s="59"/>
      <c r="H14" s="59"/>
      <c r="I14" s="59"/>
      <c r="J14" s="59"/>
      <c r="K14" s="59"/>
      <c r="L14" s="59"/>
      <c r="M14" s="59"/>
      <c r="N14" s="59"/>
      <c r="O14" s="59"/>
      <c r="P14" s="59"/>
      <c r="Q14" s="59"/>
      <c r="R14" s="59"/>
      <c r="S14" s="59"/>
      <c r="T14" s="59"/>
      <c r="U14" s="59"/>
      <c r="V14" s="59"/>
      <c r="W14" s="59"/>
      <c r="X14" s="59"/>
      <c r="Y14" s="59"/>
    </row>
    <row r="15" spans="2:25" ht="15.75" thickBot="1">
      <c r="B15" s="59"/>
      <c r="C15" s="70"/>
      <c r="D15" s="59"/>
      <c r="E15" s="59"/>
      <c r="F15" s="59"/>
      <c r="G15" s="59"/>
      <c r="H15" s="59"/>
      <c r="I15" s="59"/>
      <c r="J15" s="59"/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</row>
    <row r="16" spans="2:25" ht="16.5" thickTop="1" thickBot="1">
      <c r="B16" s="101" t="s">
        <v>134</v>
      </c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  <c r="Q16" s="101"/>
      <c r="R16" s="101"/>
      <c r="S16" s="101"/>
      <c r="T16" s="101"/>
      <c r="U16" s="101"/>
      <c r="V16" s="101"/>
      <c r="W16" s="101"/>
      <c r="X16" s="101"/>
      <c r="Y16" s="102"/>
    </row>
    <row r="17" spans="2:25" s="54" customFormat="1" ht="15.75" thickTop="1">
      <c r="B17" s="60" t="s">
        <v>83</v>
      </c>
      <c r="C17" s="61"/>
      <c r="D17" s="62" t="s">
        <v>84</v>
      </c>
      <c r="E17" s="63">
        <v>1</v>
      </c>
      <c r="F17" s="63">
        <v>2</v>
      </c>
      <c r="G17" s="63">
        <v>3</v>
      </c>
      <c r="H17" s="63">
        <v>4</v>
      </c>
      <c r="I17" s="63">
        <v>5</v>
      </c>
      <c r="J17" s="63">
        <v>6</v>
      </c>
      <c r="K17" s="63">
        <v>7</v>
      </c>
      <c r="L17" s="63">
        <v>8</v>
      </c>
      <c r="M17" s="63">
        <v>9</v>
      </c>
      <c r="N17" s="63">
        <v>10</v>
      </c>
      <c r="O17" s="63">
        <v>11</v>
      </c>
      <c r="P17" s="63">
        <v>12</v>
      </c>
      <c r="Q17" s="63">
        <v>13</v>
      </c>
      <c r="R17" s="63">
        <v>14</v>
      </c>
      <c r="S17" s="63">
        <v>15</v>
      </c>
      <c r="T17" s="63">
        <v>16</v>
      </c>
      <c r="U17" s="63">
        <v>17</v>
      </c>
      <c r="V17" s="63">
        <v>18</v>
      </c>
      <c r="W17" s="63">
        <v>19</v>
      </c>
      <c r="X17" s="63">
        <v>20</v>
      </c>
      <c r="Y17" s="64">
        <v>21</v>
      </c>
    </row>
    <row r="18" spans="2:25" s="68" customFormat="1">
      <c r="B18" s="65">
        <v>1</v>
      </c>
      <c r="C18" s="66" t="s">
        <v>134</v>
      </c>
      <c r="D18" s="67"/>
      <c r="E18" s="67"/>
      <c r="F18" s="67"/>
      <c r="G18" s="67"/>
      <c r="H18" s="67"/>
      <c r="I18" s="67"/>
      <c r="J18" s="67"/>
      <c r="K18" s="67"/>
      <c r="L18" s="67"/>
      <c r="M18" s="67"/>
      <c r="N18" s="67"/>
      <c r="O18" s="67"/>
      <c r="P18" s="67"/>
      <c r="Q18" s="67"/>
      <c r="R18" s="67"/>
      <c r="S18" s="67"/>
      <c r="T18" s="67"/>
      <c r="U18" s="67"/>
      <c r="V18" s="67"/>
      <c r="W18" s="67"/>
      <c r="X18" s="67"/>
      <c r="Y18" s="67"/>
    </row>
    <row r="19" spans="2:25" s="68" customFormat="1" ht="30">
      <c r="B19" s="65">
        <v>1.1000000000000001</v>
      </c>
      <c r="C19" s="66" t="s">
        <v>40</v>
      </c>
      <c r="D19" s="67">
        <f t="shared" ref="D19:D26" si="2">SUM(E19:Y19)</f>
        <v>290587.64222400007</v>
      </c>
      <c r="E19" s="67"/>
      <c r="F19" s="67">
        <f>E22+E23</f>
        <v>36323.455278000001</v>
      </c>
      <c r="G19" s="67">
        <f t="shared" ref="G19:L19" si="3">F19-F25</f>
        <v>33901.891592799999</v>
      </c>
      <c r="H19" s="67">
        <f t="shared" si="3"/>
        <v>31480.3279076</v>
      </c>
      <c r="I19" s="67">
        <f t="shared" si="3"/>
        <v>29058.764222400001</v>
      </c>
      <c r="J19" s="67">
        <f t="shared" si="3"/>
        <v>26637.200537200002</v>
      </c>
      <c r="K19" s="67">
        <f>J19-J25</f>
        <v>24215.636852000003</v>
      </c>
      <c r="L19" s="67">
        <f t="shared" si="3"/>
        <v>21794.073166800004</v>
      </c>
      <c r="M19" s="67">
        <f t="shared" ref="M19:O19" si="4">L19-L25</f>
        <v>19372.509481600006</v>
      </c>
      <c r="N19" s="67">
        <f t="shared" si="4"/>
        <v>16950.945796400007</v>
      </c>
      <c r="O19" s="67">
        <f t="shared" si="4"/>
        <v>14529.382111200006</v>
      </c>
      <c r="P19" s="67">
        <f>O19-O25</f>
        <v>12107.818426000005</v>
      </c>
      <c r="Q19" s="67">
        <f t="shared" ref="Q19:S19" si="5">P19-P25</f>
        <v>9686.2547408000046</v>
      </c>
      <c r="R19" s="67">
        <f t="shared" si="5"/>
        <v>7264.6910556000039</v>
      </c>
      <c r="S19" s="67">
        <f t="shared" si="5"/>
        <v>4843.1273704000032</v>
      </c>
      <c r="T19" s="67">
        <f>S19-S25</f>
        <v>2421.563685200003</v>
      </c>
      <c r="U19" s="67"/>
      <c r="V19" s="67"/>
      <c r="W19" s="67"/>
      <c r="X19" s="67"/>
      <c r="Y19" s="67"/>
    </row>
    <row r="20" spans="2:25" s="68" customFormat="1">
      <c r="B20" s="65" t="s">
        <v>0</v>
      </c>
      <c r="C20" s="66" t="s">
        <v>41</v>
      </c>
      <c r="D20" s="67">
        <f t="shared" si="2"/>
        <v>35241.54</v>
      </c>
      <c r="F20" s="67">
        <f>E22</f>
        <v>35241.54</v>
      </c>
      <c r="G20" s="67"/>
      <c r="H20" s="67"/>
      <c r="I20" s="67"/>
      <c r="J20" s="67"/>
      <c r="K20" s="67"/>
      <c r="L20" s="67"/>
      <c r="M20" s="67"/>
      <c r="N20" s="67"/>
      <c r="O20" s="67"/>
      <c r="P20" s="67"/>
      <c r="Q20" s="67"/>
      <c r="R20" s="67"/>
      <c r="S20" s="67"/>
      <c r="T20" s="67"/>
      <c r="U20" s="67"/>
      <c r="V20" s="67"/>
      <c r="W20" s="67"/>
      <c r="X20" s="67"/>
      <c r="Y20" s="67"/>
    </row>
    <row r="21" spans="2:25" s="68" customFormat="1" ht="30.6" customHeight="1">
      <c r="B21" s="65" t="s">
        <v>1</v>
      </c>
      <c r="C21" s="66" t="s">
        <v>85</v>
      </c>
      <c r="D21" s="67">
        <f t="shared" si="2"/>
        <v>1081.9152780000002</v>
      </c>
      <c r="E21" s="67"/>
      <c r="F21" s="67">
        <f>E23</f>
        <v>1081.9152780000002</v>
      </c>
      <c r="G21" s="67"/>
      <c r="H21" s="67"/>
      <c r="I21" s="67"/>
      <c r="J21" s="67"/>
      <c r="K21" s="67"/>
      <c r="L21" s="67"/>
      <c r="M21" s="67"/>
      <c r="N21" s="67"/>
      <c r="O21" s="67"/>
      <c r="P21" s="67"/>
      <c r="Q21" s="67"/>
      <c r="R21" s="67"/>
      <c r="S21" s="67"/>
      <c r="T21" s="67"/>
      <c r="U21" s="67"/>
      <c r="V21" s="67"/>
      <c r="W21" s="67"/>
      <c r="X21" s="67"/>
      <c r="Y21" s="67"/>
    </row>
    <row r="22" spans="2:25" s="68" customFormat="1">
      <c r="B22" s="65">
        <v>1.2</v>
      </c>
      <c r="C22" s="66" t="s">
        <v>41</v>
      </c>
      <c r="D22" s="67">
        <f t="shared" si="2"/>
        <v>35241.54</v>
      </c>
      <c r="E22" s="67">
        <f>Parameters!D26</f>
        <v>35241.54</v>
      </c>
      <c r="F22" s="67"/>
      <c r="G22" s="67"/>
      <c r="H22" s="67"/>
      <c r="I22" s="67"/>
      <c r="J22" s="67"/>
      <c r="K22" s="67"/>
      <c r="L22" s="67"/>
      <c r="M22" s="67"/>
      <c r="N22" s="67"/>
      <c r="O22" s="67"/>
      <c r="P22" s="67"/>
      <c r="Q22" s="67"/>
      <c r="R22" s="67"/>
      <c r="S22" s="67"/>
      <c r="T22" s="67"/>
      <c r="U22" s="67"/>
      <c r="V22" s="67"/>
      <c r="W22" s="67"/>
      <c r="X22" s="67"/>
      <c r="Y22" s="67"/>
    </row>
    <row r="23" spans="2:25" s="68" customFormat="1">
      <c r="B23" s="65">
        <v>1.3</v>
      </c>
      <c r="C23" s="66" t="s">
        <v>44</v>
      </c>
      <c r="D23" s="67">
        <f t="shared" si="2"/>
        <v>18923.996510553603</v>
      </c>
      <c r="E23" s="67">
        <f>E22/2*Parameters!D30</f>
        <v>1081.9152780000002</v>
      </c>
      <c r="F23" s="67">
        <f>F19*Parameters!$D$30</f>
        <v>2230.2601540692003</v>
      </c>
      <c r="G23" s="67">
        <f>G19*Parameters!$D$30</f>
        <v>2081.5761437979199</v>
      </c>
      <c r="H23" s="67">
        <f>H19*Parameters!$D$30</f>
        <v>1932.89213352664</v>
      </c>
      <c r="I23" s="67">
        <f>I19*Parameters!$D$30</f>
        <v>1784.2081232553601</v>
      </c>
      <c r="J23" s="67">
        <f>J19*Parameters!$D$30</f>
        <v>1635.5241129840801</v>
      </c>
      <c r="K23" s="67">
        <f>K19*Parameters!$D$30</f>
        <v>1486.8401027128002</v>
      </c>
      <c r="L23" s="67">
        <f>L19*Parameters!$D$30</f>
        <v>1338.1560924415203</v>
      </c>
      <c r="M23" s="67">
        <f>M19*Parameters!$D$30</f>
        <v>1189.4720821702404</v>
      </c>
      <c r="N23" s="67">
        <f>N19*Parameters!$D$30</f>
        <v>1040.7880718989604</v>
      </c>
      <c r="O23" s="67">
        <f>O19*Parameters!$D$30</f>
        <v>892.10406162768038</v>
      </c>
      <c r="P23" s="67">
        <f>P19*Parameters!$D$30</f>
        <v>743.42005135640034</v>
      </c>
      <c r="Q23" s="67">
        <f>Q19*Parameters!$D$30</f>
        <v>594.73604108512029</v>
      </c>
      <c r="R23" s="67">
        <f>R19*Parameters!$D$30</f>
        <v>446.05203081384025</v>
      </c>
      <c r="S23" s="67">
        <f>S19*Parameters!$D$30</f>
        <v>297.3680205425602</v>
      </c>
      <c r="T23" s="67">
        <f>T19*Parameters!$D$30</f>
        <v>148.68401027128019</v>
      </c>
      <c r="U23" s="67"/>
      <c r="V23" s="67"/>
      <c r="W23" s="67"/>
      <c r="X23" s="67"/>
      <c r="Y23" s="67"/>
    </row>
    <row r="24" spans="2:25" s="68" customFormat="1">
      <c r="B24" s="65">
        <v>1.4</v>
      </c>
      <c r="C24" s="66" t="s">
        <v>86</v>
      </c>
      <c r="D24" s="67">
        <f t="shared" si="2"/>
        <v>54165.536510553604</v>
      </c>
      <c r="E24" s="67"/>
      <c r="F24" s="67">
        <f>F26+F25</f>
        <v>4651.8238392692001</v>
      </c>
      <c r="G24" s="67">
        <f t="shared" ref="G24:O24" si="6">G26+G25</f>
        <v>4503.1398289979206</v>
      </c>
      <c r="H24" s="67">
        <f t="shared" si="6"/>
        <v>4354.4558187266402</v>
      </c>
      <c r="I24" s="67">
        <f t="shared" si="6"/>
        <v>4205.7718084553599</v>
      </c>
      <c r="J24" s="67">
        <f>J26+J25</f>
        <v>4057.0877981840804</v>
      </c>
      <c r="K24" s="67">
        <f t="shared" si="6"/>
        <v>3908.4037879128005</v>
      </c>
      <c r="L24" s="67">
        <f t="shared" si="6"/>
        <v>3759.7197776415205</v>
      </c>
      <c r="M24" s="67">
        <f t="shared" si="6"/>
        <v>3611.0357673702406</v>
      </c>
      <c r="N24" s="67">
        <f t="shared" si="6"/>
        <v>3462.3517570989607</v>
      </c>
      <c r="O24" s="67">
        <f t="shared" si="6"/>
        <v>3313.6677468276807</v>
      </c>
      <c r="P24" s="67">
        <f>P26+P25</f>
        <v>3164.9837365564008</v>
      </c>
      <c r="Q24" s="67">
        <f t="shared" ref="Q24:R24" si="7">Q26+Q25</f>
        <v>3016.2997262851204</v>
      </c>
      <c r="R24" s="67">
        <f t="shared" si="7"/>
        <v>2867.6157160138405</v>
      </c>
      <c r="S24" s="67">
        <f>S26+S25</f>
        <v>2718.9317057425606</v>
      </c>
      <c r="T24" s="67">
        <f>T26+T25</f>
        <v>2570.2476954712806</v>
      </c>
      <c r="U24" s="67"/>
      <c r="V24" s="67"/>
      <c r="W24" s="67"/>
      <c r="X24" s="67"/>
      <c r="Y24" s="67"/>
    </row>
    <row r="25" spans="2:25" s="68" customFormat="1">
      <c r="B25" s="65" t="s">
        <v>2</v>
      </c>
      <c r="C25" s="66" t="s">
        <v>47</v>
      </c>
      <c r="D25" s="67">
        <f t="shared" si="2"/>
        <v>36323.455278000001</v>
      </c>
      <c r="E25" s="67">
        <v>0</v>
      </c>
      <c r="F25" s="67">
        <f>(Parameters!$D$26+Parameters!$D$27)/15</f>
        <v>2421.5636852000002</v>
      </c>
      <c r="G25" s="67">
        <f>(Parameters!$D$26+Parameters!$D$27)/15</f>
        <v>2421.5636852000002</v>
      </c>
      <c r="H25" s="67">
        <f>(Parameters!$D$26+Parameters!$D$27)/15</f>
        <v>2421.5636852000002</v>
      </c>
      <c r="I25" s="67">
        <f>(Parameters!$D$26+Parameters!$D$27)/15</f>
        <v>2421.5636852000002</v>
      </c>
      <c r="J25" s="67">
        <f>(Parameters!$D$26+Parameters!$D$27)/15</f>
        <v>2421.5636852000002</v>
      </c>
      <c r="K25" s="67">
        <f>(Parameters!$D$26+Parameters!$D$27)/15</f>
        <v>2421.5636852000002</v>
      </c>
      <c r="L25" s="67">
        <f>(Parameters!$D$26+Parameters!$D$27)/15</f>
        <v>2421.5636852000002</v>
      </c>
      <c r="M25" s="67">
        <f>(Parameters!$D$26+Parameters!$D$27)/15</f>
        <v>2421.5636852000002</v>
      </c>
      <c r="N25" s="67">
        <f>(Parameters!$D$26+Parameters!$D$27)/15</f>
        <v>2421.5636852000002</v>
      </c>
      <c r="O25" s="67">
        <f>(Parameters!$D$26+Parameters!$D$27)/15</f>
        <v>2421.5636852000002</v>
      </c>
      <c r="P25" s="67">
        <f>(Parameters!$D$26+Parameters!$D$27)/15</f>
        <v>2421.5636852000002</v>
      </c>
      <c r="Q25" s="67">
        <f>(Parameters!$D$26+Parameters!$D$27)/15</f>
        <v>2421.5636852000002</v>
      </c>
      <c r="R25" s="67">
        <f>(Parameters!$D$26+Parameters!$D$27)/15</f>
        <v>2421.5636852000002</v>
      </c>
      <c r="S25" s="67">
        <f>(Parameters!$D$26+Parameters!$D$27)/15</f>
        <v>2421.5636852000002</v>
      </c>
      <c r="T25" s="67">
        <f>(Parameters!$D$26+Parameters!$D$27)/15</f>
        <v>2421.5636852000002</v>
      </c>
      <c r="U25" s="67"/>
      <c r="V25" s="67"/>
      <c r="W25" s="67"/>
      <c r="X25" s="67"/>
      <c r="Y25" s="67"/>
    </row>
    <row r="26" spans="2:25" s="68" customFormat="1">
      <c r="B26" s="65" t="s">
        <v>3</v>
      </c>
      <c r="C26" s="66" t="s">
        <v>38</v>
      </c>
      <c r="D26" s="67">
        <f t="shared" si="2"/>
        <v>17842.081232553606</v>
      </c>
      <c r="E26" s="67">
        <v>0</v>
      </c>
      <c r="F26" s="67">
        <f>F23</f>
        <v>2230.2601540692003</v>
      </c>
      <c r="G26" s="67">
        <f t="shared" ref="G26:T26" si="8">G23</f>
        <v>2081.5761437979199</v>
      </c>
      <c r="H26" s="67">
        <f t="shared" si="8"/>
        <v>1932.89213352664</v>
      </c>
      <c r="I26" s="67">
        <f t="shared" si="8"/>
        <v>1784.2081232553601</v>
      </c>
      <c r="J26" s="67">
        <f t="shared" si="8"/>
        <v>1635.5241129840801</v>
      </c>
      <c r="K26" s="67">
        <f t="shared" si="8"/>
        <v>1486.8401027128002</v>
      </c>
      <c r="L26" s="67">
        <f t="shared" si="8"/>
        <v>1338.1560924415203</v>
      </c>
      <c r="M26" s="67">
        <f t="shared" si="8"/>
        <v>1189.4720821702404</v>
      </c>
      <c r="N26" s="67">
        <f t="shared" si="8"/>
        <v>1040.7880718989604</v>
      </c>
      <c r="O26" s="67">
        <f t="shared" si="8"/>
        <v>892.10406162768038</v>
      </c>
      <c r="P26" s="67">
        <f t="shared" si="8"/>
        <v>743.42005135640034</v>
      </c>
      <c r="Q26" s="67">
        <f t="shared" si="8"/>
        <v>594.73604108512029</v>
      </c>
      <c r="R26" s="67">
        <f t="shared" si="8"/>
        <v>446.05203081384025</v>
      </c>
      <c r="S26" s="67">
        <f t="shared" si="8"/>
        <v>297.3680205425602</v>
      </c>
      <c r="T26" s="67">
        <f t="shared" si="8"/>
        <v>148.68401027128019</v>
      </c>
      <c r="U26" s="67"/>
      <c r="V26" s="67"/>
      <c r="W26" s="67"/>
      <c r="X26" s="67"/>
      <c r="Y26" s="67"/>
    </row>
    <row r="28" spans="2:25" ht="15.75" thickBot="1"/>
    <row r="29" spans="2:25" ht="16.5" thickTop="1" thickBot="1">
      <c r="B29" s="101" t="s">
        <v>136</v>
      </c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  <c r="Q29" s="101"/>
      <c r="R29" s="101"/>
      <c r="S29" s="101"/>
      <c r="T29" s="101"/>
      <c r="U29" s="101"/>
      <c r="V29" s="101"/>
      <c r="W29" s="101"/>
      <c r="X29" s="101"/>
      <c r="Y29" s="102"/>
    </row>
    <row r="30" spans="2:25" s="54" customFormat="1" ht="15.75" thickTop="1">
      <c r="B30" s="60" t="s">
        <v>83</v>
      </c>
      <c r="C30" s="61"/>
      <c r="D30" s="62" t="s">
        <v>84</v>
      </c>
      <c r="E30" s="63">
        <v>1</v>
      </c>
      <c r="F30" s="63">
        <v>2</v>
      </c>
      <c r="G30" s="63">
        <v>3</v>
      </c>
      <c r="H30" s="63">
        <v>4</v>
      </c>
      <c r="I30" s="63">
        <v>5</v>
      </c>
      <c r="J30" s="63">
        <v>6</v>
      </c>
      <c r="K30" s="63">
        <v>7</v>
      </c>
      <c r="L30" s="63">
        <v>8</v>
      </c>
      <c r="M30" s="63">
        <v>9</v>
      </c>
      <c r="N30" s="63">
        <v>10</v>
      </c>
      <c r="O30" s="63">
        <v>11</v>
      </c>
      <c r="P30" s="63">
        <v>12</v>
      </c>
      <c r="Q30" s="63">
        <v>13</v>
      </c>
      <c r="R30" s="63">
        <v>14</v>
      </c>
      <c r="S30" s="63">
        <v>15</v>
      </c>
      <c r="T30" s="63">
        <v>16</v>
      </c>
      <c r="U30" s="63">
        <v>17</v>
      </c>
      <c r="V30" s="63">
        <v>18</v>
      </c>
      <c r="W30" s="63">
        <v>19</v>
      </c>
      <c r="X30" s="63">
        <v>20</v>
      </c>
      <c r="Y30" s="64">
        <v>21</v>
      </c>
    </row>
    <row r="31" spans="2:25" s="68" customFormat="1">
      <c r="B31" s="71">
        <v>0</v>
      </c>
      <c r="C31" s="72" t="s">
        <v>48</v>
      </c>
      <c r="D31" s="67">
        <f>SUM(E31:Y31)</f>
        <v>118145.65321367524</v>
      </c>
      <c r="E31" s="67"/>
      <c r="F31" s="67">
        <f>F32+F38</f>
        <v>5536.6130769230776</v>
      </c>
      <c r="G31" s="67">
        <f t="shared" ref="G31:Y31" si="9">G32+G38</f>
        <v>5536.6130769230776</v>
      </c>
      <c r="H31" s="67">
        <f t="shared" si="9"/>
        <v>5536.6130769230776</v>
      </c>
      <c r="I31" s="67">
        <f t="shared" si="9"/>
        <v>5536.6130769230776</v>
      </c>
      <c r="J31" s="67">
        <f t="shared" si="9"/>
        <v>5890.82307905983</v>
      </c>
      <c r="K31" s="67">
        <f t="shared" si="9"/>
        <v>6007.2251884615389</v>
      </c>
      <c r="L31" s="67">
        <f t="shared" si="9"/>
        <v>6007.2251884615389</v>
      </c>
      <c r="M31" s="67">
        <f t="shared" si="9"/>
        <v>6007.2251884615389</v>
      </c>
      <c r="N31" s="67">
        <f t="shared" si="9"/>
        <v>6007.2251884615389</v>
      </c>
      <c r="O31" s="67">
        <f t="shared" si="9"/>
        <v>6007.2251884615389</v>
      </c>
      <c r="P31" s="67">
        <f t="shared" si="9"/>
        <v>6007.2251884615389</v>
      </c>
      <c r="Q31" s="67">
        <f t="shared" si="9"/>
        <v>6007.2251884615389</v>
      </c>
      <c r="R31" s="67">
        <f t="shared" si="9"/>
        <v>6007.2251884615389</v>
      </c>
      <c r="S31" s="67">
        <f t="shared" si="9"/>
        <v>6007.2251884615389</v>
      </c>
      <c r="T31" s="67">
        <f t="shared" si="9"/>
        <v>6007.2251884615389</v>
      </c>
      <c r="U31" s="67">
        <f t="shared" si="9"/>
        <v>6007.2251884615389</v>
      </c>
      <c r="V31" s="67">
        <f t="shared" si="9"/>
        <v>6007.2251884615389</v>
      </c>
      <c r="W31" s="67">
        <f t="shared" si="9"/>
        <v>6007.2251884615389</v>
      </c>
      <c r="X31" s="67">
        <f t="shared" si="9"/>
        <v>6007.2251884615389</v>
      </c>
      <c r="Y31" s="67">
        <f t="shared" si="9"/>
        <v>6007.2251884615389</v>
      </c>
    </row>
    <row r="32" spans="2:25" s="68" customFormat="1">
      <c r="B32" s="65">
        <v>1</v>
      </c>
      <c r="C32" s="66" t="s">
        <v>49</v>
      </c>
      <c r="D32" s="67">
        <f t="shared" ref="D32:D55" si="10">SUM(E32:Y32)</f>
        <v>110732.26153846159</v>
      </c>
      <c r="E32" s="67"/>
      <c r="F32" s="67">
        <f>Parameters!$D$9*Parameters!$D$7/10</f>
        <v>5536.6130769230776</v>
      </c>
      <c r="G32" s="67">
        <f>Parameters!$D$9*Parameters!$D$7/10</f>
        <v>5536.6130769230776</v>
      </c>
      <c r="H32" s="67">
        <f>Parameters!$D$9*Parameters!$D$7/10</f>
        <v>5536.6130769230776</v>
      </c>
      <c r="I32" s="67">
        <f>Parameters!$D$9*Parameters!$D$7/10</f>
        <v>5536.6130769230776</v>
      </c>
      <c r="J32" s="67">
        <f>Parameters!$D$9*Parameters!$D$7/10</f>
        <v>5536.6130769230776</v>
      </c>
      <c r="K32" s="67">
        <f>Parameters!$D$9*Parameters!$D$7/10</f>
        <v>5536.6130769230776</v>
      </c>
      <c r="L32" s="67">
        <f>Parameters!$D$9*Parameters!$D$7/10</f>
        <v>5536.6130769230776</v>
      </c>
      <c r="M32" s="67">
        <f>Parameters!$D$9*Parameters!$D$7/10</f>
        <v>5536.6130769230776</v>
      </c>
      <c r="N32" s="67">
        <f>Parameters!$D$9*Parameters!$D$7/10</f>
        <v>5536.6130769230776</v>
      </c>
      <c r="O32" s="67">
        <f>Parameters!$D$9*Parameters!$D$7/10</f>
        <v>5536.6130769230776</v>
      </c>
      <c r="P32" s="67">
        <f>Parameters!$D$9*Parameters!$D$7/10</f>
        <v>5536.6130769230776</v>
      </c>
      <c r="Q32" s="67">
        <f>Parameters!$D$9*Parameters!$D$7/10</f>
        <v>5536.6130769230776</v>
      </c>
      <c r="R32" s="67">
        <f>Parameters!$D$9*Parameters!$D$7/10</f>
        <v>5536.6130769230776</v>
      </c>
      <c r="S32" s="67">
        <f>Parameters!$D$9*Parameters!$D$7/10</f>
        <v>5536.6130769230776</v>
      </c>
      <c r="T32" s="67">
        <f>Parameters!$D$9*Parameters!$D$7/10</f>
        <v>5536.6130769230776</v>
      </c>
      <c r="U32" s="67">
        <f>Parameters!$D$9*Parameters!$D$7/10</f>
        <v>5536.6130769230776</v>
      </c>
      <c r="V32" s="67">
        <f>Parameters!$D$9*Parameters!$D$7/10</f>
        <v>5536.6130769230776</v>
      </c>
      <c r="W32" s="67">
        <f>Parameters!$D$9*Parameters!$D$7/10</f>
        <v>5536.6130769230776</v>
      </c>
      <c r="X32" s="67">
        <f>Parameters!$D$9*Parameters!$D$7/10</f>
        <v>5536.6130769230776</v>
      </c>
      <c r="Y32" s="67">
        <f>Parameters!$D$9*Parameters!$D$7/10</f>
        <v>5536.6130769230776</v>
      </c>
    </row>
    <row r="33" spans="2:25" s="68" customFormat="1">
      <c r="B33" s="65">
        <v>2</v>
      </c>
      <c r="C33" s="66" t="s">
        <v>50</v>
      </c>
      <c r="D33" s="67">
        <f t="shared" si="10"/>
        <v>7413.3916752136747</v>
      </c>
      <c r="E33" s="67"/>
      <c r="F33" s="67">
        <f>F39</f>
        <v>0</v>
      </c>
      <c r="G33" s="67">
        <f t="shared" ref="G33:Y33" si="11">G39</f>
        <v>0</v>
      </c>
      <c r="H33" s="67">
        <f t="shared" si="11"/>
        <v>0</v>
      </c>
      <c r="I33" s="67">
        <f t="shared" si="11"/>
        <v>0</v>
      </c>
      <c r="J33" s="67">
        <f t="shared" si="11"/>
        <v>354.21000213675251</v>
      </c>
      <c r="K33" s="67">
        <f t="shared" si="11"/>
        <v>470.61211153846165</v>
      </c>
      <c r="L33" s="67">
        <f t="shared" si="11"/>
        <v>470.61211153846165</v>
      </c>
      <c r="M33" s="67">
        <f t="shared" si="11"/>
        <v>470.61211153846165</v>
      </c>
      <c r="N33" s="67">
        <f t="shared" si="11"/>
        <v>470.61211153846165</v>
      </c>
      <c r="O33" s="67">
        <f t="shared" si="11"/>
        <v>470.61211153846165</v>
      </c>
      <c r="P33" s="67">
        <f t="shared" si="11"/>
        <v>470.61211153846165</v>
      </c>
      <c r="Q33" s="67">
        <f t="shared" si="11"/>
        <v>470.61211153846165</v>
      </c>
      <c r="R33" s="67">
        <f t="shared" si="11"/>
        <v>470.61211153846165</v>
      </c>
      <c r="S33" s="67">
        <f t="shared" si="11"/>
        <v>470.61211153846165</v>
      </c>
      <c r="T33" s="67">
        <f>T39</f>
        <v>470.61211153846165</v>
      </c>
      <c r="U33" s="67">
        <f t="shared" si="11"/>
        <v>470.61211153846165</v>
      </c>
      <c r="V33" s="67">
        <f t="shared" si="11"/>
        <v>470.61211153846165</v>
      </c>
      <c r="W33" s="67">
        <f t="shared" si="11"/>
        <v>470.61211153846165</v>
      </c>
      <c r="X33" s="67">
        <f t="shared" si="11"/>
        <v>470.61211153846165</v>
      </c>
      <c r="Y33" s="67">
        <f t="shared" si="11"/>
        <v>470.61211153846165</v>
      </c>
    </row>
    <row r="34" spans="2:25" s="68" customFormat="1">
      <c r="B34" s="65">
        <v>2.1</v>
      </c>
      <c r="C34" s="66" t="s">
        <v>51</v>
      </c>
      <c r="D34" s="67">
        <f t="shared" si="10"/>
        <v>18824.484461538457</v>
      </c>
      <c r="E34" s="67"/>
      <c r="F34" s="67">
        <f>Parameters!$D$8*Parameters!$D$7/10/(1+Parameters!$D$45)*Parameters!$D$45</f>
        <v>941.22422307692329</v>
      </c>
      <c r="G34" s="67">
        <f>Parameters!$D$8*Parameters!$D$7/10/(1+Parameters!$D$45)*Parameters!$D$45</f>
        <v>941.22422307692329</v>
      </c>
      <c r="H34" s="67">
        <f>Parameters!$D$8*Parameters!$D$7/10/(1+Parameters!$D$45)*Parameters!$D$45</f>
        <v>941.22422307692329</v>
      </c>
      <c r="I34" s="67">
        <f>Parameters!$D$8*Parameters!$D$7/10/(1+Parameters!$D$45)*Parameters!$D$45</f>
        <v>941.22422307692329</v>
      </c>
      <c r="J34" s="67">
        <f>Parameters!$D$8*Parameters!$D$7/10/(1+Parameters!$D$45)*Parameters!$D$45</f>
        <v>941.22422307692329</v>
      </c>
      <c r="K34" s="67">
        <f>Parameters!$D$8*Parameters!$D$7/10/(1+Parameters!$D$45)*Parameters!$D$45</f>
        <v>941.22422307692329</v>
      </c>
      <c r="L34" s="67">
        <f>Parameters!$D$8*Parameters!$D$7/10/(1+Parameters!$D$45)*Parameters!$D$45</f>
        <v>941.22422307692329</v>
      </c>
      <c r="M34" s="67">
        <f>Parameters!$D$8*Parameters!$D$7/10/(1+Parameters!$D$45)*Parameters!$D$45</f>
        <v>941.22422307692329</v>
      </c>
      <c r="N34" s="67">
        <f>Parameters!$D$8*Parameters!$D$7/10/(1+Parameters!$D$45)*Parameters!$D$45</f>
        <v>941.22422307692329</v>
      </c>
      <c r="O34" s="67">
        <f>Parameters!$D$8*Parameters!$D$7/10/(1+Parameters!$D$45)*Parameters!$D$45</f>
        <v>941.22422307692329</v>
      </c>
      <c r="P34" s="67">
        <f>Parameters!$D$8*Parameters!$D$7/10/(1+Parameters!$D$45)*Parameters!$D$45</f>
        <v>941.22422307692329</v>
      </c>
      <c r="Q34" s="67">
        <f>Parameters!$D$8*Parameters!$D$7/10/(1+Parameters!$D$45)*Parameters!$D$45</f>
        <v>941.22422307692329</v>
      </c>
      <c r="R34" s="67">
        <f>Parameters!$D$8*Parameters!$D$7/10/(1+Parameters!$D$45)*Parameters!$D$45</f>
        <v>941.22422307692329</v>
      </c>
      <c r="S34" s="67">
        <f>Parameters!$D$8*Parameters!$D$7/10/(1+Parameters!$D$45)*Parameters!$D$45</f>
        <v>941.22422307692329</v>
      </c>
      <c r="T34" s="67">
        <f>Parameters!$D$8*Parameters!$D$7/10/(1+Parameters!$D$45)*Parameters!$D$45</f>
        <v>941.22422307692329</v>
      </c>
      <c r="U34" s="67">
        <f>Parameters!$D$8*Parameters!$D$7/10/(1+Parameters!$D$45)*Parameters!$D$45</f>
        <v>941.22422307692329</v>
      </c>
      <c r="V34" s="67">
        <f>Parameters!$D$8*Parameters!$D$7/10/(1+Parameters!$D$45)*Parameters!$D$45</f>
        <v>941.22422307692329</v>
      </c>
      <c r="W34" s="67">
        <f>Parameters!$D$8*Parameters!$D$7/10/(1+Parameters!$D$45)*Parameters!$D$45</f>
        <v>941.22422307692329</v>
      </c>
      <c r="X34" s="67">
        <f>Parameters!$D$8*Parameters!$D$7/10/(1+Parameters!$D$45)*Parameters!$D$45</f>
        <v>941.22422307692329</v>
      </c>
      <c r="Y34" s="67">
        <f>Parameters!$D$8*Parameters!$D$7/10/(1+Parameters!$D$45)*Parameters!$D$45</f>
        <v>941.22422307692329</v>
      </c>
    </row>
    <row r="35" spans="2:25" s="68" customFormat="1">
      <c r="B35" s="65">
        <v>2.2000000000000002</v>
      </c>
      <c r="C35" s="66" t="s">
        <v>52</v>
      </c>
      <c r="D35" s="67">
        <f t="shared" si="10"/>
        <v>197657.08684615386</v>
      </c>
      <c r="E35" s="67"/>
      <c r="F35" s="67">
        <f>F34</f>
        <v>941.22422307692329</v>
      </c>
      <c r="G35" s="67">
        <f>F35+G34</f>
        <v>1882.4484461538466</v>
      </c>
      <c r="H35" s="67">
        <f t="shared" ref="H35:Y35" si="12">G35+H34</f>
        <v>2823.6726692307698</v>
      </c>
      <c r="I35" s="67">
        <f t="shared" si="12"/>
        <v>3764.8968923076932</v>
      </c>
      <c r="J35" s="67">
        <f t="shared" si="12"/>
        <v>4706.1211153846161</v>
      </c>
      <c r="K35" s="67">
        <f t="shared" si="12"/>
        <v>5647.3453384615395</v>
      </c>
      <c r="L35" s="67">
        <f t="shared" si="12"/>
        <v>6588.5695615384629</v>
      </c>
      <c r="M35" s="67">
        <f t="shared" si="12"/>
        <v>7529.7937846153864</v>
      </c>
      <c r="N35" s="67">
        <f t="shared" si="12"/>
        <v>8471.0180076923098</v>
      </c>
      <c r="O35" s="67">
        <f t="shared" si="12"/>
        <v>9412.2422307692323</v>
      </c>
      <c r="P35" s="67">
        <f t="shared" si="12"/>
        <v>10353.466453846155</v>
      </c>
      <c r="Q35" s="67">
        <f t="shared" si="12"/>
        <v>11294.690676923077</v>
      </c>
      <c r="R35" s="67">
        <f t="shared" si="12"/>
        <v>12235.9149</v>
      </c>
      <c r="S35" s="67">
        <f t="shared" si="12"/>
        <v>13177.139123076922</v>
      </c>
      <c r="T35" s="67">
        <f t="shared" si="12"/>
        <v>14118.363346153845</v>
      </c>
      <c r="U35" s="67">
        <f t="shared" si="12"/>
        <v>15059.587569230767</v>
      </c>
      <c r="V35" s="67">
        <f t="shared" si="12"/>
        <v>16000.81179230769</v>
      </c>
      <c r="W35" s="67">
        <f t="shared" si="12"/>
        <v>16942.036015384612</v>
      </c>
      <c r="X35" s="67">
        <f t="shared" si="12"/>
        <v>17883.260238461535</v>
      </c>
      <c r="Y35" s="67">
        <f t="shared" si="12"/>
        <v>18824.484461538457</v>
      </c>
    </row>
    <row r="36" spans="2:25" s="68" customFormat="1">
      <c r="B36" s="65">
        <v>2.2999999999999998</v>
      </c>
      <c r="C36" s="66" t="s">
        <v>148</v>
      </c>
      <c r="D36" s="67">
        <f t="shared" si="10"/>
        <v>3997.7011111111115</v>
      </c>
      <c r="E36" s="67"/>
      <c r="F36" s="67">
        <f>IF(F35&lt;Parameters!$D$13,F34,IF(Parameters!$D$13-E35&gt;0,Parameters!$D$13-E35,0))</f>
        <v>941.22422307692329</v>
      </c>
      <c r="G36" s="67">
        <f>IF(G35&lt;Parameters!$D$13,G34,IF(Parameters!$D$13-F35&gt;0,Parameters!$D$13-F35,0))</f>
        <v>941.22422307692329</v>
      </c>
      <c r="H36" s="67">
        <f>IF(H35&lt;Parameters!$D$13,H34,IF(Parameters!$D$13-G35&gt;0,Parameters!$D$13-G35,0))</f>
        <v>941.22422307692329</v>
      </c>
      <c r="I36" s="67">
        <f>IF(I35&lt;Parameters!$D$13,I34,IF(Parameters!$D$13-H35&gt;0,Parameters!$D$13-H35,0))</f>
        <v>941.22422307692329</v>
      </c>
      <c r="J36" s="67">
        <f>IF(J35&lt;Parameters!$D$13,J34,IF(Parameters!$D$13-I35&gt;0,Parameters!$D$13-I35,0))</f>
        <v>232.80421880341828</v>
      </c>
      <c r="K36" s="67">
        <f>IF(K35&lt;Parameters!$D$13,K34,IF(Parameters!$D$13-J35&gt;0,Parameters!$D$13-J35,0))</f>
        <v>0</v>
      </c>
      <c r="L36" s="67">
        <f>IF(L35&lt;Parameters!$D$13,L34,IF(Parameters!$D$13-K35&gt;0,Parameters!$D$13-K35,0))</f>
        <v>0</v>
      </c>
      <c r="M36" s="67">
        <f>IF(M35&lt;Parameters!$D$13,M34,IF(Parameters!$D$13-L35&gt;0,Parameters!$D$13-L35,0))</f>
        <v>0</v>
      </c>
      <c r="N36" s="67">
        <f>IF(N35&lt;Parameters!$D$13,N34,IF(Parameters!$D$13-M35&gt;0,Parameters!$D$13-M35,0))</f>
        <v>0</v>
      </c>
      <c r="O36" s="67">
        <f>IF(O35&lt;Parameters!$D$13,O34,IF(Parameters!$D$13-N35&gt;0,Parameters!$D$13-N35,0))</f>
        <v>0</v>
      </c>
      <c r="P36" s="67">
        <f>IF(P35&lt;Parameters!$D$13,P34,IF(Parameters!$D$13-O35&gt;0,Parameters!$D$13-O35,0))</f>
        <v>0</v>
      </c>
      <c r="Q36" s="67">
        <f>IF(Q35&lt;Parameters!$D$13,Q34,IF(Parameters!$D$13-P35&gt;0,Parameters!$D$13-P35,0))</f>
        <v>0</v>
      </c>
      <c r="R36" s="67">
        <f>IF(R35&lt;Parameters!$D$13,R34,IF(Parameters!$D$13-Q35&gt;0,Parameters!$D$13-Q35,0))</f>
        <v>0</v>
      </c>
      <c r="S36" s="67">
        <f>IF(S35&lt;Parameters!$D$13,S34,IF(Parameters!$D$13-R35&gt;0,Parameters!$D$13-R35,0))</f>
        <v>0</v>
      </c>
      <c r="T36" s="67">
        <f>IF(T35&lt;Parameters!$D$13,T34,IF(Parameters!$D$13-S35&gt;0,Parameters!$D$13-S35,0))</f>
        <v>0</v>
      </c>
      <c r="U36" s="67">
        <f>IF(U35&lt;Parameters!$D$13,U34,IF(Parameters!$D$13-T35&gt;0,Parameters!$D$13-T35,0))</f>
        <v>0</v>
      </c>
      <c r="V36" s="67">
        <f>IF(V35&lt;Parameters!$D$13,V34,IF(Parameters!$D$13-U35&gt;0,Parameters!$D$13-U35,0))</f>
        <v>0</v>
      </c>
      <c r="W36" s="67">
        <f>IF(W35&lt;Parameters!$D$13,W34,IF(Parameters!$D$13-V35&gt;0,Parameters!$D$13-V35,0))</f>
        <v>0</v>
      </c>
      <c r="X36" s="67">
        <f>IF(X35&lt;Parameters!$D$13,X34,IF(Parameters!$D$13-W35&gt;0,Parameters!$D$13-W35,0))</f>
        <v>0</v>
      </c>
      <c r="Y36" s="67">
        <f>IF(Y35&lt;Parameters!$D$13,Y34,IF(Parameters!$D$13-X35&gt;0,Parameters!$D$13-X35,0))</f>
        <v>0</v>
      </c>
    </row>
    <row r="37" spans="2:25" s="68" customFormat="1">
      <c r="B37" s="65">
        <v>2.4</v>
      </c>
      <c r="C37" s="66" t="s">
        <v>149</v>
      </c>
      <c r="D37" s="67">
        <f t="shared" si="10"/>
        <v>14826.783350427349</v>
      </c>
      <c r="E37" s="67"/>
      <c r="F37" s="67">
        <f>F34-F36</f>
        <v>0</v>
      </c>
      <c r="G37" s="67">
        <f t="shared" ref="G37:H37" si="13">G34-G36</f>
        <v>0</v>
      </c>
      <c r="H37" s="67">
        <f t="shared" si="13"/>
        <v>0</v>
      </c>
      <c r="I37" s="67">
        <f>I34-I36</f>
        <v>0</v>
      </c>
      <c r="J37" s="67">
        <f>J34-J36</f>
        <v>708.42000427350501</v>
      </c>
      <c r="K37" s="67">
        <f t="shared" ref="K37" si="14">K34-K36</f>
        <v>941.22422307692329</v>
      </c>
      <c r="L37" s="67">
        <f t="shared" ref="L37" si="15">L34-L36</f>
        <v>941.22422307692329</v>
      </c>
      <c r="M37" s="67">
        <f t="shared" ref="M37:N37" si="16">M34-M36</f>
        <v>941.22422307692329</v>
      </c>
      <c r="N37" s="67">
        <f t="shared" si="16"/>
        <v>941.22422307692329</v>
      </c>
      <c r="O37" s="67">
        <f t="shared" ref="O37" si="17">O34-O36</f>
        <v>941.22422307692329</v>
      </c>
      <c r="P37" s="67">
        <f t="shared" ref="P37" si="18">P34-P36</f>
        <v>941.22422307692329</v>
      </c>
      <c r="Q37" s="67">
        <f t="shared" ref="Q37:R37" si="19">Q34-Q36</f>
        <v>941.22422307692329</v>
      </c>
      <c r="R37" s="67">
        <f t="shared" si="19"/>
        <v>941.22422307692329</v>
      </c>
      <c r="S37" s="67">
        <f t="shared" ref="S37" si="20">S34-S36</f>
        <v>941.22422307692329</v>
      </c>
      <c r="T37" s="67">
        <f t="shared" ref="T37" si="21">T34-T36</f>
        <v>941.22422307692329</v>
      </c>
      <c r="U37" s="67">
        <f t="shared" ref="U37:V37" si="22">U34-U36</f>
        <v>941.22422307692329</v>
      </c>
      <c r="V37" s="67">
        <f t="shared" si="22"/>
        <v>941.22422307692329</v>
      </c>
      <c r="W37" s="67">
        <f t="shared" ref="W37" si="23">W34-W36</f>
        <v>941.22422307692329</v>
      </c>
      <c r="X37" s="67">
        <f t="shared" ref="X37" si="24">X34-X36</f>
        <v>941.22422307692329</v>
      </c>
      <c r="Y37" s="67">
        <f t="shared" ref="Y37" si="25">Y34-Y36</f>
        <v>941.22422307692329</v>
      </c>
    </row>
    <row r="38" spans="2:25" s="68" customFormat="1">
      <c r="B38" s="65">
        <v>2.5</v>
      </c>
      <c r="C38" s="66" t="s">
        <v>53</v>
      </c>
      <c r="D38" s="67">
        <f t="shared" si="10"/>
        <v>7413.3916752136747</v>
      </c>
      <c r="E38" s="67"/>
      <c r="F38" s="67">
        <f>F37*Parameters!$D$46</f>
        <v>0</v>
      </c>
      <c r="G38" s="67">
        <f>G37*Parameters!$D$46</f>
        <v>0</v>
      </c>
      <c r="H38" s="67">
        <f>H37*Parameters!$D$46</f>
        <v>0</v>
      </c>
      <c r="I38" s="67">
        <f>I37*Parameters!$D$46</f>
        <v>0</v>
      </c>
      <c r="J38" s="67">
        <f>J37*Parameters!$D$46</f>
        <v>354.21000213675251</v>
      </c>
      <c r="K38" s="67">
        <f>K37*Parameters!$D$46</f>
        <v>470.61211153846165</v>
      </c>
      <c r="L38" s="67">
        <f>L37*Parameters!$D$46</f>
        <v>470.61211153846165</v>
      </c>
      <c r="M38" s="67">
        <f>M37*Parameters!$D$46</f>
        <v>470.61211153846165</v>
      </c>
      <c r="N38" s="67">
        <f>N37*Parameters!$D$46</f>
        <v>470.61211153846165</v>
      </c>
      <c r="O38" s="67">
        <f>O37*Parameters!$D$46</f>
        <v>470.61211153846165</v>
      </c>
      <c r="P38" s="67">
        <f>P37*Parameters!$D$46</f>
        <v>470.61211153846165</v>
      </c>
      <c r="Q38" s="67">
        <f>Q37*Parameters!$D$46</f>
        <v>470.61211153846165</v>
      </c>
      <c r="R38" s="67">
        <f>R37*Parameters!$D$46</f>
        <v>470.61211153846165</v>
      </c>
      <c r="S38" s="67">
        <f>S37*Parameters!$D$46</f>
        <v>470.61211153846165</v>
      </c>
      <c r="T38" s="67">
        <f>T37*Parameters!$D$46</f>
        <v>470.61211153846165</v>
      </c>
      <c r="U38" s="67">
        <f>U37*Parameters!$D$46</f>
        <v>470.61211153846165</v>
      </c>
      <c r="V38" s="67">
        <f>V37*Parameters!$D$46</f>
        <v>470.61211153846165</v>
      </c>
      <c r="W38" s="67">
        <f>W37*Parameters!$D$46</f>
        <v>470.61211153846165</v>
      </c>
      <c r="X38" s="67">
        <f>X37*Parameters!$D$46</f>
        <v>470.61211153846165</v>
      </c>
      <c r="Y38" s="67">
        <f>Y37*Parameters!$D$46</f>
        <v>470.61211153846165</v>
      </c>
    </row>
    <row r="39" spans="2:25" s="68" customFormat="1">
      <c r="B39" s="65">
        <v>2.6</v>
      </c>
      <c r="C39" s="73" t="s">
        <v>54</v>
      </c>
      <c r="D39" s="67">
        <f t="shared" si="10"/>
        <v>7413.3916752136747</v>
      </c>
      <c r="E39" s="67"/>
      <c r="F39" s="67">
        <f t="shared" ref="F39:I39" si="26">F37-F38</f>
        <v>0</v>
      </c>
      <c r="G39" s="67">
        <f t="shared" si="26"/>
        <v>0</v>
      </c>
      <c r="H39" s="67">
        <f t="shared" si="26"/>
        <v>0</v>
      </c>
      <c r="I39" s="67">
        <f t="shared" si="26"/>
        <v>0</v>
      </c>
      <c r="J39" s="67">
        <f>J37-J38</f>
        <v>354.21000213675251</v>
      </c>
      <c r="K39" s="67">
        <f t="shared" ref="K39:Y39" si="27">K37-K38</f>
        <v>470.61211153846165</v>
      </c>
      <c r="L39" s="67">
        <f t="shared" si="27"/>
        <v>470.61211153846165</v>
      </c>
      <c r="M39" s="67">
        <f t="shared" si="27"/>
        <v>470.61211153846165</v>
      </c>
      <c r="N39" s="67">
        <f t="shared" si="27"/>
        <v>470.61211153846165</v>
      </c>
      <c r="O39" s="67">
        <f t="shared" si="27"/>
        <v>470.61211153846165</v>
      </c>
      <c r="P39" s="67">
        <f t="shared" si="27"/>
        <v>470.61211153846165</v>
      </c>
      <c r="Q39" s="67">
        <f t="shared" si="27"/>
        <v>470.61211153846165</v>
      </c>
      <c r="R39" s="67">
        <f t="shared" si="27"/>
        <v>470.61211153846165</v>
      </c>
      <c r="S39" s="67">
        <f t="shared" si="27"/>
        <v>470.61211153846165</v>
      </c>
      <c r="T39" s="67">
        <f t="shared" si="27"/>
        <v>470.61211153846165</v>
      </c>
      <c r="U39" s="67">
        <f t="shared" si="27"/>
        <v>470.61211153846165</v>
      </c>
      <c r="V39" s="67">
        <f t="shared" si="27"/>
        <v>470.61211153846165</v>
      </c>
      <c r="W39" s="67">
        <f t="shared" si="27"/>
        <v>470.61211153846165</v>
      </c>
      <c r="X39" s="67">
        <f t="shared" si="27"/>
        <v>470.61211153846165</v>
      </c>
      <c r="Y39" s="67">
        <f t="shared" si="27"/>
        <v>470.61211153846165</v>
      </c>
    </row>
    <row r="40" spans="2:25" s="68" customFormat="1">
      <c r="B40" s="65">
        <v>3</v>
      </c>
      <c r="C40" s="66" t="s">
        <v>55</v>
      </c>
      <c r="D40" s="67">
        <f t="shared" si="10"/>
        <v>1482.6783350427359</v>
      </c>
      <c r="E40" s="67"/>
      <c r="F40" s="67">
        <f>F41+F42</f>
        <v>0</v>
      </c>
      <c r="G40" s="67">
        <f t="shared" ref="G40:Y40" si="28">G41+G42</f>
        <v>0</v>
      </c>
      <c r="H40" s="67">
        <f t="shared" si="28"/>
        <v>0</v>
      </c>
      <c r="I40" s="67">
        <f>I41+I42</f>
        <v>0</v>
      </c>
      <c r="J40" s="67">
        <f>J41+J42</f>
        <v>70.842000427350499</v>
      </c>
      <c r="K40" s="67">
        <f t="shared" si="28"/>
        <v>94.122422307692332</v>
      </c>
      <c r="L40" s="67">
        <f t="shared" si="28"/>
        <v>94.122422307692332</v>
      </c>
      <c r="M40" s="67">
        <f t="shared" si="28"/>
        <v>94.122422307692332</v>
      </c>
      <c r="N40" s="67">
        <f t="shared" si="28"/>
        <v>94.122422307692332</v>
      </c>
      <c r="O40" s="67">
        <f t="shared" si="28"/>
        <v>94.122422307692332</v>
      </c>
      <c r="P40" s="67">
        <f t="shared" si="28"/>
        <v>94.122422307692332</v>
      </c>
      <c r="Q40" s="67">
        <f t="shared" si="28"/>
        <v>94.122422307692332</v>
      </c>
      <c r="R40" s="67">
        <f t="shared" si="28"/>
        <v>94.122422307692332</v>
      </c>
      <c r="S40" s="67">
        <f t="shared" si="28"/>
        <v>94.122422307692332</v>
      </c>
      <c r="T40" s="67">
        <f t="shared" si="28"/>
        <v>94.122422307692332</v>
      </c>
      <c r="U40" s="67">
        <f t="shared" si="28"/>
        <v>94.122422307692332</v>
      </c>
      <c r="V40" s="67">
        <f t="shared" si="28"/>
        <v>94.122422307692332</v>
      </c>
      <c r="W40" s="67">
        <f t="shared" si="28"/>
        <v>94.122422307692332</v>
      </c>
      <c r="X40" s="67">
        <f t="shared" si="28"/>
        <v>94.122422307692332</v>
      </c>
      <c r="Y40" s="67">
        <f t="shared" si="28"/>
        <v>94.122422307692332</v>
      </c>
    </row>
    <row r="41" spans="2:25" s="68" customFormat="1">
      <c r="B41" s="65">
        <v>3.1</v>
      </c>
      <c r="C41" s="66" t="s">
        <v>56</v>
      </c>
      <c r="D41" s="67">
        <f t="shared" si="10"/>
        <v>741.33916752136793</v>
      </c>
      <c r="E41" s="67"/>
      <c r="F41" s="67">
        <f>F37*Parameters!$D$47</f>
        <v>0</v>
      </c>
      <c r="G41" s="67">
        <f>G37*Parameters!$D$47</f>
        <v>0</v>
      </c>
      <c r="H41" s="67">
        <f>H37*Parameters!$D$47</f>
        <v>0</v>
      </c>
      <c r="I41" s="67">
        <f>I37*Parameters!$D$47</f>
        <v>0</v>
      </c>
      <c r="J41" s="67">
        <f>J37*Parameters!$D$47</f>
        <v>35.421000213675249</v>
      </c>
      <c r="K41" s="67">
        <f>K37*Parameters!$D$47</f>
        <v>47.061211153846166</v>
      </c>
      <c r="L41" s="67">
        <f>L37*Parameters!$D$47</f>
        <v>47.061211153846166</v>
      </c>
      <c r="M41" s="67">
        <f>M37*Parameters!$D$47</f>
        <v>47.061211153846166</v>
      </c>
      <c r="N41" s="67">
        <f>N37*Parameters!$D$47</f>
        <v>47.061211153846166</v>
      </c>
      <c r="O41" s="67">
        <f>O37*Parameters!$D$47</f>
        <v>47.061211153846166</v>
      </c>
      <c r="P41" s="67">
        <f>P37*Parameters!$D$47</f>
        <v>47.061211153846166</v>
      </c>
      <c r="Q41" s="67">
        <f>Q37*Parameters!$D$47</f>
        <v>47.061211153846166</v>
      </c>
      <c r="R41" s="67">
        <f>R37*Parameters!$D$47</f>
        <v>47.061211153846166</v>
      </c>
      <c r="S41" s="67">
        <f>S37*Parameters!$D$47</f>
        <v>47.061211153846166</v>
      </c>
      <c r="T41" s="67">
        <f>T37*Parameters!$D$47</f>
        <v>47.061211153846166</v>
      </c>
      <c r="U41" s="67">
        <f>U37*Parameters!$D$47</f>
        <v>47.061211153846166</v>
      </c>
      <c r="V41" s="67">
        <f>V37*Parameters!$D$47</f>
        <v>47.061211153846166</v>
      </c>
      <c r="W41" s="67">
        <f>W37*Parameters!$D$47</f>
        <v>47.061211153846166</v>
      </c>
      <c r="X41" s="67">
        <f>X37*Parameters!$D$47</f>
        <v>47.061211153846166</v>
      </c>
      <c r="Y41" s="67">
        <f>Y37*Parameters!$D$47</f>
        <v>47.061211153846166</v>
      </c>
    </row>
    <row r="42" spans="2:25" s="68" customFormat="1">
      <c r="B42" s="65">
        <v>3.2</v>
      </c>
      <c r="C42" s="66" t="s">
        <v>57</v>
      </c>
      <c r="D42" s="67">
        <f>SUM(E42:Y42)</f>
        <v>741.33916752136793</v>
      </c>
      <c r="E42" s="67"/>
      <c r="F42" s="67">
        <f>F37*Parameters!$D$48</f>
        <v>0</v>
      </c>
      <c r="G42" s="67">
        <f>G37*Parameters!$D$48</f>
        <v>0</v>
      </c>
      <c r="H42" s="67">
        <f>H37*Parameters!$D$48</f>
        <v>0</v>
      </c>
      <c r="I42" s="67">
        <f>I37*Parameters!$D$48</f>
        <v>0</v>
      </c>
      <c r="J42" s="67">
        <f>J37*Parameters!$D$48</f>
        <v>35.421000213675249</v>
      </c>
      <c r="K42" s="67">
        <f>K37*Parameters!$D$48</f>
        <v>47.061211153846166</v>
      </c>
      <c r="L42" s="67">
        <f>L37*Parameters!$D$48</f>
        <v>47.061211153846166</v>
      </c>
      <c r="M42" s="67">
        <f>M37*Parameters!$D$48</f>
        <v>47.061211153846166</v>
      </c>
      <c r="N42" s="67">
        <f>N37*Parameters!$D$48</f>
        <v>47.061211153846166</v>
      </c>
      <c r="O42" s="67">
        <f>O37*Parameters!$D$48</f>
        <v>47.061211153846166</v>
      </c>
      <c r="P42" s="67">
        <f>P37*Parameters!$D$48</f>
        <v>47.061211153846166</v>
      </c>
      <c r="Q42" s="67">
        <f>Q37*Parameters!$D$48</f>
        <v>47.061211153846166</v>
      </c>
      <c r="R42" s="67">
        <f>R37*Parameters!$D$48</f>
        <v>47.061211153846166</v>
      </c>
      <c r="S42" s="67">
        <f>S37*Parameters!$D$48</f>
        <v>47.061211153846166</v>
      </c>
      <c r="T42" s="67">
        <f>T37*Parameters!$D$48</f>
        <v>47.061211153846166</v>
      </c>
      <c r="U42" s="67">
        <f>U37*Parameters!$D$48</f>
        <v>47.061211153846166</v>
      </c>
      <c r="V42" s="67">
        <f>V37*Parameters!$D$48</f>
        <v>47.061211153846166</v>
      </c>
      <c r="W42" s="67">
        <f>W37*Parameters!$D$48</f>
        <v>47.061211153846166</v>
      </c>
      <c r="X42" s="67">
        <f>X37*Parameters!$D$48</f>
        <v>47.061211153846166</v>
      </c>
      <c r="Y42" s="67">
        <f>Y37*Parameters!$D$48</f>
        <v>47.061211153846166</v>
      </c>
    </row>
    <row r="43" spans="2:25" s="68" customFormat="1">
      <c r="B43" s="65">
        <v>4</v>
      </c>
      <c r="C43" s="66" t="s">
        <v>39</v>
      </c>
      <c r="D43" s="67">
        <f t="shared" si="10"/>
        <v>95311.128435542501</v>
      </c>
      <c r="E43" s="67"/>
      <c r="F43" s="67">
        <f>F13</f>
        <v>6758.6075885277187</v>
      </c>
      <c r="G43" s="67">
        <f>G13</f>
        <v>6609.9235782564374</v>
      </c>
      <c r="H43" s="67">
        <f t="shared" ref="H43:Y43" si="29">H13</f>
        <v>6461.2395679851579</v>
      </c>
      <c r="I43" s="67">
        <f t="shared" si="29"/>
        <v>6312.5555577138784</v>
      </c>
      <c r="J43" s="67">
        <f t="shared" si="29"/>
        <v>6163.8715474425981</v>
      </c>
      <c r="K43" s="67">
        <f t="shared" si="29"/>
        <v>6015.1875371713186</v>
      </c>
      <c r="L43" s="67">
        <f t="shared" si="29"/>
        <v>5866.5035269000382</v>
      </c>
      <c r="M43" s="67">
        <f t="shared" si="29"/>
        <v>5717.8195166287587</v>
      </c>
      <c r="N43" s="67">
        <f t="shared" si="29"/>
        <v>5569.1355063574783</v>
      </c>
      <c r="O43" s="67">
        <f t="shared" si="29"/>
        <v>5420.4514960861989</v>
      </c>
      <c r="P43" s="67">
        <f t="shared" si="29"/>
        <v>5271.7674858149185</v>
      </c>
      <c r="Q43" s="67">
        <f t="shared" si="29"/>
        <v>5123.0834755436381</v>
      </c>
      <c r="R43" s="67">
        <f>R13</f>
        <v>4974.3994652723586</v>
      </c>
      <c r="S43" s="67">
        <f t="shared" si="29"/>
        <v>4825.7154550010782</v>
      </c>
      <c r="T43" s="67">
        <f t="shared" si="29"/>
        <v>4677.0314447297987</v>
      </c>
      <c r="U43" s="67">
        <f t="shared" si="29"/>
        <v>1908.7671372222221</v>
      </c>
      <c r="V43" s="67">
        <f t="shared" si="29"/>
        <v>1908.7671372222221</v>
      </c>
      <c r="W43" s="67">
        <f t="shared" si="29"/>
        <v>1908.7671372222221</v>
      </c>
      <c r="X43" s="67">
        <f t="shared" si="29"/>
        <v>1908.7671372222221</v>
      </c>
      <c r="Y43" s="67">
        <f t="shared" si="29"/>
        <v>1908.7671372222221</v>
      </c>
    </row>
    <row r="44" spans="2:25" s="68" customFormat="1" hidden="1">
      <c r="B44" s="65">
        <v>5</v>
      </c>
      <c r="C44" s="66" t="s">
        <v>65</v>
      </c>
      <c r="D44" s="67">
        <f t="shared" si="10"/>
        <v>21351.846443090002</v>
      </c>
      <c r="E44" s="67"/>
      <c r="F44" s="67">
        <f>F31-F40-F43</f>
        <v>-1221.994511604641</v>
      </c>
      <c r="G44" s="67">
        <f t="shared" ref="G44:Y44" si="30">G31-G40-G43</f>
        <v>-1073.3105013333598</v>
      </c>
      <c r="H44" s="67">
        <f>H31-H40-H43</f>
        <v>-924.62649106208028</v>
      </c>
      <c r="I44" s="67">
        <f t="shared" si="30"/>
        <v>-775.9424807908008</v>
      </c>
      <c r="J44" s="67">
        <f t="shared" si="30"/>
        <v>-343.89046881011836</v>
      </c>
      <c r="K44" s="67">
        <f t="shared" si="30"/>
        <v>-102.08477101747212</v>
      </c>
      <c r="L44" s="67">
        <f t="shared" si="30"/>
        <v>46.599239253808264</v>
      </c>
      <c r="M44" s="67">
        <f>M31-M40-M43</f>
        <v>195.28324952508774</v>
      </c>
      <c r="N44" s="67">
        <f t="shared" si="30"/>
        <v>343.96725979636813</v>
      </c>
      <c r="O44" s="67">
        <f t="shared" si="30"/>
        <v>492.6512700676476</v>
      </c>
      <c r="P44" s="67">
        <f t="shared" si="30"/>
        <v>641.33528033892799</v>
      </c>
      <c r="Q44" s="67">
        <f t="shared" si="30"/>
        <v>790.01929061020837</v>
      </c>
      <c r="R44" s="67">
        <f t="shared" si="30"/>
        <v>938.70330088148785</v>
      </c>
      <c r="S44" s="67">
        <f t="shared" si="30"/>
        <v>1087.3873111527682</v>
      </c>
      <c r="T44" s="67">
        <f>T31-T40-T43</f>
        <v>1236.0713214240477</v>
      </c>
      <c r="U44" s="67">
        <f t="shared" si="30"/>
        <v>4004.3356289316243</v>
      </c>
      <c r="V44" s="67">
        <f t="shared" si="30"/>
        <v>4004.3356289316243</v>
      </c>
      <c r="W44" s="67">
        <f t="shared" si="30"/>
        <v>4004.3356289316243</v>
      </c>
      <c r="X44" s="67">
        <f t="shared" si="30"/>
        <v>4004.3356289316243</v>
      </c>
      <c r="Y44" s="67">
        <f t="shared" si="30"/>
        <v>4004.3356289316243</v>
      </c>
    </row>
    <row r="45" spans="2:25" s="68" customFormat="1" hidden="1">
      <c r="B45" s="103"/>
      <c r="C45" s="66" t="s">
        <v>58</v>
      </c>
      <c r="D45" s="67"/>
      <c r="E45" s="67"/>
      <c r="F45" s="67">
        <f t="shared" ref="F45:Y45" si="31">IF(E44&gt;0,IF(SUM(E44:E45)&gt;0,MIN(SUM(E44:E46),0),E46),E46)</f>
        <v>0</v>
      </c>
      <c r="G45" s="67">
        <f t="shared" si="31"/>
        <v>0</v>
      </c>
      <c r="H45" s="67">
        <f t="shared" si="31"/>
        <v>0</v>
      </c>
      <c r="I45" s="67">
        <f t="shared" si="31"/>
        <v>0</v>
      </c>
      <c r="J45" s="67">
        <f>IF(I44&gt;0,IF(SUM(I44:I45)&gt;0,MIN(SUM(I44:I46),0),I46),I46)</f>
        <v>0</v>
      </c>
      <c r="K45" s="67">
        <f t="shared" si="31"/>
        <v>-1221.994511604641</v>
      </c>
      <c r="L45" s="67">
        <f t="shared" si="31"/>
        <v>-1073.3105013333598</v>
      </c>
      <c r="M45" s="67">
        <f t="shared" si="31"/>
        <v>-924.62649106208028</v>
      </c>
      <c r="N45" s="67">
        <f t="shared" si="31"/>
        <v>-775.9424807908008</v>
      </c>
      <c r="O45" s="67">
        <f t="shared" si="31"/>
        <v>-343.89046881011836</v>
      </c>
      <c r="P45" s="74">
        <f t="shared" si="31"/>
        <v>0</v>
      </c>
      <c r="Q45" s="67">
        <f t="shared" si="31"/>
        <v>0</v>
      </c>
      <c r="R45" s="67">
        <f t="shared" si="31"/>
        <v>0</v>
      </c>
      <c r="S45" s="67">
        <f t="shared" si="31"/>
        <v>0</v>
      </c>
      <c r="T45" s="67">
        <f t="shared" si="31"/>
        <v>0</v>
      </c>
      <c r="U45" s="67">
        <f t="shared" si="31"/>
        <v>0</v>
      </c>
      <c r="V45" s="67">
        <f t="shared" si="31"/>
        <v>0</v>
      </c>
      <c r="W45" s="67">
        <f t="shared" si="31"/>
        <v>0</v>
      </c>
      <c r="X45" s="67">
        <f t="shared" si="31"/>
        <v>0</v>
      </c>
      <c r="Y45" s="67">
        <f t="shared" si="31"/>
        <v>0</v>
      </c>
    </row>
    <row r="46" spans="2:25" s="68" customFormat="1" hidden="1">
      <c r="B46" s="104"/>
      <c r="C46" s="66" t="s">
        <v>59</v>
      </c>
      <c r="D46" s="67"/>
      <c r="E46" s="67"/>
      <c r="F46" s="67">
        <f t="shared" ref="F46:Y46" si="32">IF(E44&gt;0,IF(SUM(E44:E46)&gt;0,MIN(SUM(E44:E47),0),E47),E47)</f>
        <v>0</v>
      </c>
      <c r="G46" s="67">
        <f t="shared" si="32"/>
        <v>0</v>
      </c>
      <c r="H46" s="67">
        <f t="shared" si="32"/>
        <v>0</v>
      </c>
      <c r="I46" s="67">
        <f>IF(H44&gt;0,IF(SUM(H44:H46)&gt;0,MIN(SUM(H44:H47),0),H47),H47)</f>
        <v>0</v>
      </c>
      <c r="J46" s="67">
        <f>IF(I44&gt;0,IF(SUM(I44:I46)&gt;0,MIN(SUM(I44:I47),0),I47),I47)</f>
        <v>-1221.994511604641</v>
      </c>
      <c r="K46" s="67">
        <f t="shared" si="32"/>
        <v>-1073.3105013333598</v>
      </c>
      <c r="L46" s="67">
        <f t="shared" si="32"/>
        <v>-924.62649106208028</v>
      </c>
      <c r="M46" s="67">
        <f t="shared" si="32"/>
        <v>-775.9424807908008</v>
      </c>
      <c r="N46" s="67">
        <f t="shared" si="32"/>
        <v>-343.89046881011836</v>
      </c>
      <c r="O46" s="67">
        <f t="shared" si="32"/>
        <v>-102.08477101747212</v>
      </c>
      <c r="P46" s="67">
        <f t="shared" si="32"/>
        <v>0</v>
      </c>
      <c r="Q46" s="67">
        <f t="shared" si="32"/>
        <v>0</v>
      </c>
      <c r="R46" s="67">
        <f t="shared" si="32"/>
        <v>0</v>
      </c>
      <c r="S46" s="67">
        <f t="shared" si="32"/>
        <v>0</v>
      </c>
      <c r="T46" s="67">
        <f t="shared" si="32"/>
        <v>0</v>
      </c>
      <c r="U46" s="67">
        <f t="shared" si="32"/>
        <v>0</v>
      </c>
      <c r="V46" s="67">
        <f t="shared" si="32"/>
        <v>0</v>
      </c>
      <c r="W46" s="67">
        <f t="shared" si="32"/>
        <v>0</v>
      </c>
      <c r="X46" s="67">
        <f t="shared" si="32"/>
        <v>0</v>
      </c>
      <c r="Y46" s="67">
        <f t="shared" si="32"/>
        <v>0</v>
      </c>
    </row>
    <row r="47" spans="2:25" s="68" customFormat="1" hidden="1">
      <c r="B47" s="104"/>
      <c r="C47" s="66" t="s">
        <v>60</v>
      </c>
      <c r="D47" s="67"/>
      <c r="E47" s="67"/>
      <c r="F47" s="67">
        <f t="shared" ref="F47:Y47" si="33">IF(E44&gt;0,IF(SUM(E44:E47)&gt;0,MIN(SUM(E44:E48),0),E48),E48)</f>
        <v>0</v>
      </c>
      <c r="G47" s="67">
        <f t="shared" si="33"/>
        <v>0</v>
      </c>
      <c r="H47" s="67">
        <f>IF(G44&gt;0,IF(SUM(G44:G47)&gt;0,MIN(SUM(G44:G48),0),G48),G48)</f>
        <v>0</v>
      </c>
      <c r="I47" s="67">
        <f>IF(H44&gt;0,IF(SUM(H44:H47)&gt;0,MIN(SUM(H44:H48),0),H48),H48)</f>
        <v>-1221.994511604641</v>
      </c>
      <c r="J47" s="67">
        <f t="shared" si="33"/>
        <v>-1073.3105013333598</v>
      </c>
      <c r="K47" s="67">
        <f t="shared" si="33"/>
        <v>-924.62649106208028</v>
      </c>
      <c r="L47" s="67">
        <f t="shared" si="33"/>
        <v>-775.9424807908008</v>
      </c>
      <c r="M47" s="67">
        <f t="shared" si="33"/>
        <v>-343.89046881011836</v>
      </c>
      <c r="N47" s="67">
        <f t="shared" si="33"/>
        <v>-102.08477101747212</v>
      </c>
      <c r="O47" s="67">
        <f t="shared" si="33"/>
        <v>0</v>
      </c>
      <c r="P47" s="67">
        <f t="shared" si="33"/>
        <v>0</v>
      </c>
      <c r="Q47" s="67">
        <f t="shared" si="33"/>
        <v>0</v>
      </c>
      <c r="R47" s="67">
        <f t="shared" si="33"/>
        <v>0</v>
      </c>
      <c r="S47" s="67">
        <f t="shared" si="33"/>
        <v>0</v>
      </c>
      <c r="T47" s="67">
        <f t="shared" si="33"/>
        <v>0</v>
      </c>
      <c r="U47" s="67">
        <f t="shared" si="33"/>
        <v>0</v>
      </c>
      <c r="V47" s="67">
        <f t="shared" si="33"/>
        <v>0</v>
      </c>
      <c r="W47" s="67">
        <f t="shared" si="33"/>
        <v>0</v>
      </c>
      <c r="X47" s="67">
        <f t="shared" si="33"/>
        <v>0</v>
      </c>
      <c r="Y47" s="67">
        <f t="shared" si="33"/>
        <v>0</v>
      </c>
    </row>
    <row r="48" spans="2:25" s="68" customFormat="1" hidden="1">
      <c r="B48" s="104"/>
      <c r="C48" s="73" t="s">
        <v>61</v>
      </c>
      <c r="D48" s="67"/>
      <c r="E48" s="67"/>
      <c r="F48" s="67">
        <f>IF(E44&gt;0,IF(SUM(E44:E48)&gt;0,MIN(SUM(E44:E49),0),E49),E49)</f>
        <v>0</v>
      </c>
      <c r="G48" s="67">
        <f>IF(F44&gt;0,IF(SUM(F44:F48)&gt;0,MIN(SUM(F44:F49),0),F49),F49)</f>
        <v>0</v>
      </c>
      <c r="H48" s="67">
        <f>IF(G44&gt;0,IF(SUM(G44:G48)&gt;0,MIN(SUM(G44:G49),0),G49),G49)</f>
        <v>-1221.994511604641</v>
      </c>
      <c r="I48" s="67">
        <f t="shared" ref="I48:Y48" si="34">IF(H44&gt;0,IF(SUM(H44:H48)&gt;0,MIN(SUM(H44:H49),0),H49),H49)</f>
        <v>-1073.3105013333598</v>
      </c>
      <c r="J48" s="67">
        <f t="shared" si="34"/>
        <v>-924.62649106208028</v>
      </c>
      <c r="K48" s="67">
        <f t="shared" si="34"/>
        <v>-775.9424807908008</v>
      </c>
      <c r="L48" s="67">
        <f t="shared" si="34"/>
        <v>-343.89046881011836</v>
      </c>
      <c r="M48" s="67">
        <f t="shared" si="34"/>
        <v>-102.08477101747212</v>
      </c>
      <c r="N48" s="67">
        <f t="shared" si="34"/>
        <v>0</v>
      </c>
      <c r="O48" s="67">
        <f t="shared" si="34"/>
        <v>0</v>
      </c>
      <c r="P48" s="67">
        <f t="shared" si="34"/>
        <v>0</v>
      </c>
      <c r="Q48" s="67">
        <f t="shared" si="34"/>
        <v>0</v>
      </c>
      <c r="R48" s="67">
        <f t="shared" si="34"/>
        <v>0</v>
      </c>
      <c r="S48" s="67">
        <f t="shared" si="34"/>
        <v>0</v>
      </c>
      <c r="T48" s="67">
        <f t="shared" si="34"/>
        <v>0</v>
      </c>
      <c r="U48" s="67">
        <f t="shared" si="34"/>
        <v>0</v>
      </c>
      <c r="V48" s="67">
        <f t="shared" si="34"/>
        <v>0</v>
      </c>
      <c r="W48" s="67">
        <f t="shared" si="34"/>
        <v>0</v>
      </c>
      <c r="X48" s="67">
        <f t="shared" si="34"/>
        <v>0</v>
      </c>
      <c r="Y48" s="67">
        <f t="shared" si="34"/>
        <v>0</v>
      </c>
    </row>
    <row r="49" spans="2:25" s="68" customFormat="1" hidden="1">
      <c r="B49" s="104"/>
      <c r="C49" s="66" t="s">
        <v>62</v>
      </c>
      <c r="D49" s="67"/>
      <c r="E49" s="67"/>
      <c r="F49" s="67">
        <f>MIN(E44,0)</f>
        <v>0</v>
      </c>
      <c r="G49" s="67">
        <f>MIN(F44,0)</f>
        <v>-1221.994511604641</v>
      </c>
      <c r="H49" s="67">
        <f t="shared" ref="H49:Y49" si="35">MIN(G44,0)</f>
        <v>-1073.3105013333598</v>
      </c>
      <c r="I49" s="67">
        <f t="shared" si="35"/>
        <v>-924.62649106208028</v>
      </c>
      <c r="J49" s="67">
        <f t="shared" si="35"/>
        <v>-775.9424807908008</v>
      </c>
      <c r="K49" s="67">
        <f t="shared" si="35"/>
        <v>-343.89046881011836</v>
      </c>
      <c r="L49" s="67">
        <f t="shared" si="35"/>
        <v>-102.08477101747212</v>
      </c>
      <c r="M49" s="67">
        <f t="shared" si="35"/>
        <v>0</v>
      </c>
      <c r="N49" s="67">
        <f t="shared" si="35"/>
        <v>0</v>
      </c>
      <c r="O49" s="67">
        <f t="shared" si="35"/>
        <v>0</v>
      </c>
      <c r="P49" s="67">
        <f t="shared" si="35"/>
        <v>0</v>
      </c>
      <c r="Q49" s="67">
        <f t="shared" si="35"/>
        <v>0</v>
      </c>
      <c r="R49" s="67">
        <f t="shared" si="35"/>
        <v>0</v>
      </c>
      <c r="S49" s="67">
        <f t="shared" si="35"/>
        <v>0</v>
      </c>
      <c r="T49" s="67">
        <f t="shared" si="35"/>
        <v>0</v>
      </c>
      <c r="U49" s="67">
        <f t="shared" si="35"/>
        <v>0</v>
      </c>
      <c r="V49" s="67">
        <f t="shared" si="35"/>
        <v>0</v>
      </c>
      <c r="W49" s="67">
        <f t="shared" si="35"/>
        <v>0</v>
      </c>
      <c r="X49" s="67">
        <f t="shared" si="35"/>
        <v>0</v>
      </c>
      <c r="Y49" s="67">
        <f t="shared" si="35"/>
        <v>0</v>
      </c>
    </row>
    <row r="50" spans="2:25" s="68" customFormat="1" hidden="1">
      <c r="B50" s="104"/>
      <c r="C50" s="66" t="s">
        <v>63</v>
      </c>
      <c r="D50" s="67"/>
      <c r="E50" s="67"/>
      <c r="F50" s="67">
        <f>MIN(MAX(F44,0),-SUM(F45:F49))</f>
        <v>0</v>
      </c>
      <c r="G50" s="67">
        <f t="shared" ref="G50:Y50" si="36">MIN(MAX(G44,0),-SUM(G45:G49))</f>
        <v>0</v>
      </c>
      <c r="H50" s="67">
        <f t="shared" si="36"/>
        <v>0</v>
      </c>
      <c r="I50" s="67">
        <f t="shared" si="36"/>
        <v>0</v>
      </c>
      <c r="J50" s="67">
        <f t="shared" si="36"/>
        <v>0</v>
      </c>
      <c r="K50" s="67">
        <f t="shared" si="36"/>
        <v>0</v>
      </c>
      <c r="L50" s="67">
        <f t="shared" si="36"/>
        <v>46.599239253808264</v>
      </c>
      <c r="M50" s="67">
        <f t="shared" si="36"/>
        <v>195.28324952508774</v>
      </c>
      <c r="N50" s="67">
        <f t="shared" si="36"/>
        <v>343.96725979636813</v>
      </c>
      <c r="O50" s="67">
        <f t="shared" si="36"/>
        <v>445.97523982759049</v>
      </c>
      <c r="P50" s="67">
        <f t="shared" si="36"/>
        <v>0</v>
      </c>
      <c r="Q50" s="67">
        <f t="shared" si="36"/>
        <v>0</v>
      </c>
      <c r="R50" s="67">
        <f t="shared" si="36"/>
        <v>0</v>
      </c>
      <c r="S50" s="67">
        <f t="shared" si="36"/>
        <v>0</v>
      </c>
      <c r="T50" s="67">
        <f t="shared" si="36"/>
        <v>0</v>
      </c>
      <c r="U50" s="67">
        <f t="shared" si="36"/>
        <v>0</v>
      </c>
      <c r="V50" s="67">
        <f t="shared" si="36"/>
        <v>0</v>
      </c>
      <c r="W50" s="67">
        <f t="shared" si="36"/>
        <v>0</v>
      </c>
      <c r="X50" s="67">
        <f t="shared" si="36"/>
        <v>0</v>
      </c>
      <c r="Y50" s="67">
        <f t="shared" si="36"/>
        <v>0</v>
      </c>
    </row>
    <row r="51" spans="2:25" s="68" customFormat="1" hidden="1">
      <c r="B51" s="105"/>
      <c r="C51" s="66" t="s">
        <v>66</v>
      </c>
      <c r="D51" s="67"/>
      <c r="E51" s="67"/>
      <c r="F51" s="67">
        <f>F44-F50</f>
        <v>-1221.994511604641</v>
      </c>
      <c r="G51" s="67">
        <f t="shared" ref="G51:Y51" si="37">G44-G50</f>
        <v>-1073.3105013333598</v>
      </c>
      <c r="H51" s="67">
        <f t="shared" si="37"/>
        <v>-924.62649106208028</v>
      </c>
      <c r="I51" s="67">
        <f t="shared" si="37"/>
        <v>-775.9424807908008</v>
      </c>
      <c r="J51" s="67">
        <f t="shared" si="37"/>
        <v>-343.89046881011836</v>
      </c>
      <c r="K51" s="67">
        <f t="shared" si="37"/>
        <v>-102.08477101747212</v>
      </c>
      <c r="L51" s="67">
        <f t="shared" si="37"/>
        <v>0</v>
      </c>
      <c r="M51" s="67">
        <f t="shared" si="37"/>
        <v>0</v>
      </c>
      <c r="N51" s="67">
        <f t="shared" si="37"/>
        <v>0</v>
      </c>
      <c r="O51" s="67">
        <f t="shared" si="37"/>
        <v>46.676030240057116</v>
      </c>
      <c r="P51" s="67">
        <f t="shared" si="37"/>
        <v>641.33528033892799</v>
      </c>
      <c r="Q51" s="67">
        <f t="shared" si="37"/>
        <v>790.01929061020837</v>
      </c>
      <c r="R51" s="67">
        <f t="shared" si="37"/>
        <v>938.70330088148785</v>
      </c>
      <c r="S51" s="67">
        <f t="shared" si="37"/>
        <v>1087.3873111527682</v>
      </c>
      <c r="T51" s="67">
        <f t="shared" si="37"/>
        <v>1236.0713214240477</v>
      </c>
      <c r="U51" s="67">
        <f t="shared" si="37"/>
        <v>4004.3356289316243</v>
      </c>
      <c r="V51" s="67">
        <f t="shared" si="37"/>
        <v>4004.3356289316243</v>
      </c>
      <c r="W51" s="67">
        <f t="shared" si="37"/>
        <v>4004.3356289316243</v>
      </c>
      <c r="X51" s="67">
        <f t="shared" si="37"/>
        <v>4004.3356289316243</v>
      </c>
      <c r="Y51" s="67">
        <f t="shared" si="37"/>
        <v>4004.3356289316243</v>
      </c>
    </row>
    <row r="52" spans="2:25" s="68" customFormat="1">
      <c r="B52" s="65">
        <v>6</v>
      </c>
      <c r="C52" s="66" t="s">
        <v>64</v>
      </c>
      <c r="D52" s="67">
        <f t="shared" si="10"/>
        <v>6190.4676698264057</v>
      </c>
      <c r="E52" s="67"/>
      <c r="F52" s="67">
        <f>IF(F51&gt;0,F51*Parameters!$D$49,0)</f>
        <v>0</v>
      </c>
      <c r="G52" s="67">
        <f>IF(G51&gt;0,G51*Parameters!$D$49,0)</f>
        <v>0</v>
      </c>
      <c r="H52" s="67">
        <f>IF(H51&gt;0,H51*Parameters!$D$49,0)</f>
        <v>0</v>
      </c>
      <c r="I52" s="67">
        <f>IF(I51&gt;0,I51*Parameters!$D$49,0)</f>
        <v>0</v>
      </c>
      <c r="J52" s="67">
        <f>IF(J51&gt;0,J51*Parameters!$D$49,0)</f>
        <v>0</v>
      </c>
      <c r="K52" s="67">
        <f>IF(K51&gt;0,K51*Parameters!$D$49,0)</f>
        <v>0</v>
      </c>
      <c r="L52" s="67">
        <f>IF(L51&gt;0,L51*Parameters!$D$49,0)</f>
        <v>0</v>
      </c>
      <c r="M52" s="67">
        <f>IF(M51&gt;0,M51*Parameters!$D$49,0)</f>
        <v>0</v>
      </c>
      <c r="N52" s="67">
        <f>IF(N51&gt;0,N51*Parameters!$D$49,0)</f>
        <v>0</v>
      </c>
      <c r="O52" s="67">
        <f>IF(O51&gt;0,O51*Parameters!$D$49,0)</f>
        <v>11.669007560014279</v>
      </c>
      <c r="P52" s="67">
        <f>IF(P51&gt;0,P51*Parameters!$D$49,0)</f>
        <v>160.333820084732</v>
      </c>
      <c r="Q52" s="67">
        <f>IF(Q51&gt;0,Q51*Parameters!$D$49,0)</f>
        <v>197.50482265255209</v>
      </c>
      <c r="R52" s="67">
        <f>IF(R51&gt;0,R51*Parameters!$D$49,0)</f>
        <v>234.67582522037196</v>
      </c>
      <c r="S52" s="67">
        <f>IF(S51&gt;0,S51*Parameters!$D$49,0)</f>
        <v>271.84682778819206</v>
      </c>
      <c r="T52" s="67">
        <f>IF(T51&gt;0,T51*Parameters!$D$49,0)</f>
        <v>309.01783035601193</v>
      </c>
      <c r="U52" s="67">
        <f>IF(U51&gt;0,U51*Parameters!$D$49,0)</f>
        <v>1001.0839072329061</v>
      </c>
      <c r="V52" s="67">
        <f>IF(V51&gt;0,V51*Parameters!$D$49,0)</f>
        <v>1001.0839072329061</v>
      </c>
      <c r="W52" s="67">
        <f>IF(W51&gt;0,W51*Parameters!$D$49,0)</f>
        <v>1001.0839072329061</v>
      </c>
      <c r="X52" s="67">
        <f>IF(X51&gt;0,X51*Parameters!$D$49,0)</f>
        <v>1001.0839072329061</v>
      </c>
      <c r="Y52" s="67">
        <f>IF(Y51&gt;0,Y51*Parameters!$D$49,0)</f>
        <v>1001.0839072329061</v>
      </c>
    </row>
    <row r="53" spans="2:25" s="68" customFormat="1">
      <c r="B53" s="65"/>
      <c r="C53" s="66" t="s">
        <v>67</v>
      </c>
      <c r="D53" s="67">
        <f t="shared" si="10"/>
        <v>15161.378773263594</v>
      </c>
      <c r="E53" s="67"/>
      <c r="F53" s="67">
        <f>F44-F52</f>
        <v>-1221.994511604641</v>
      </c>
      <c r="G53" s="67">
        <f t="shared" ref="G53:Y53" si="38">G44-G52</f>
        <v>-1073.3105013333598</v>
      </c>
      <c r="H53" s="67">
        <f t="shared" si="38"/>
        <v>-924.62649106208028</v>
      </c>
      <c r="I53" s="67">
        <f t="shared" si="38"/>
        <v>-775.9424807908008</v>
      </c>
      <c r="J53" s="67">
        <f t="shared" si="38"/>
        <v>-343.89046881011836</v>
      </c>
      <c r="K53" s="67">
        <f t="shared" si="38"/>
        <v>-102.08477101747212</v>
      </c>
      <c r="L53" s="67">
        <f t="shared" si="38"/>
        <v>46.599239253808264</v>
      </c>
      <c r="M53" s="67">
        <f t="shared" si="38"/>
        <v>195.28324952508774</v>
      </c>
      <c r="N53" s="67">
        <f t="shared" si="38"/>
        <v>343.96725979636813</v>
      </c>
      <c r="O53" s="67">
        <f t="shared" si="38"/>
        <v>480.98226250763332</v>
      </c>
      <c r="P53" s="67">
        <f t="shared" si="38"/>
        <v>481.00146025419599</v>
      </c>
      <c r="Q53" s="67">
        <f t="shared" si="38"/>
        <v>592.51446795765628</v>
      </c>
      <c r="R53" s="67">
        <f t="shared" si="38"/>
        <v>704.02747566111589</v>
      </c>
      <c r="S53" s="67">
        <f t="shared" si="38"/>
        <v>815.54048336457618</v>
      </c>
      <c r="T53" s="67">
        <f t="shared" si="38"/>
        <v>927.05349106803578</v>
      </c>
      <c r="U53" s="67">
        <f t="shared" si="38"/>
        <v>3003.251721698718</v>
      </c>
      <c r="V53" s="67">
        <f t="shared" si="38"/>
        <v>3003.251721698718</v>
      </c>
      <c r="W53" s="67">
        <f t="shared" si="38"/>
        <v>3003.251721698718</v>
      </c>
      <c r="X53" s="67">
        <f t="shared" si="38"/>
        <v>3003.251721698718</v>
      </c>
      <c r="Y53" s="67">
        <f t="shared" si="38"/>
        <v>3003.251721698718</v>
      </c>
    </row>
    <row r="54" spans="2:25" s="68" customFormat="1">
      <c r="B54" s="65"/>
      <c r="C54" s="66" t="s">
        <v>68</v>
      </c>
      <c r="D54" s="67">
        <f t="shared" si="10"/>
        <v>1960.322799788207</v>
      </c>
      <c r="E54" s="67"/>
      <c r="F54" s="67">
        <f>IF(F53&gt;0,F53*Parameters!$D$15,0)</f>
        <v>0</v>
      </c>
      <c r="G54" s="67">
        <f>IF(G53&gt;0,G53*Parameters!$D$15,0)</f>
        <v>0</v>
      </c>
      <c r="H54" s="67">
        <f>IF(H53&gt;0,H53*Parameters!$D$15,0)</f>
        <v>0</v>
      </c>
      <c r="I54" s="67">
        <f>IF(I53&gt;0,I53*Parameters!$D$15,0)</f>
        <v>0</v>
      </c>
      <c r="J54" s="67">
        <f>IF(J53&gt;0,J53*Parameters!$D$15,0)</f>
        <v>0</v>
      </c>
      <c r="K54" s="67">
        <f>IF(K53&gt;0,K53*Parameters!$D$15,0)</f>
        <v>0</v>
      </c>
      <c r="L54" s="67">
        <f>IF(L53&gt;0,L53*Parameters!$D$15,0)</f>
        <v>4.6599239253808262</v>
      </c>
      <c r="M54" s="67">
        <f>IF(M53&gt;0,M53*Parameters!$D$15,0)</f>
        <v>19.528324952508775</v>
      </c>
      <c r="N54" s="67">
        <f>IF(N53&gt;0,N53*Parameters!$D$15,0)</f>
        <v>34.396725979636813</v>
      </c>
      <c r="O54" s="67">
        <f>IF(O53&gt;0,O53*Parameters!$D$15,0)</f>
        <v>48.098226250763332</v>
      </c>
      <c r="P54" s="67">
        <f>IF(P53&gt;0,P53*Parameters!$D$15,0)</f>
        <v>48.100146025419605</v>
      </c>
      <c r="Q54" s="67">
        <f>IF(Q53&gt;0,Q53*Parameters!$D$15,0)</f>
        <v>59.251446795765631</v>
      </c>
      <c r="R54" s="67">
        <f>IF(R53&gt;0,R53*Parameters!$D$15,0)</f>
        <v>70.402747566111586</v>
      </c>
      <c r="S54" s="67">
        <f>IF(S53&gt;0,S53*Parameters!$D$15,0)</f>
        <v>81.554048336457626</v>
      </c>
      <c r="T54" s="67">
        <f>IF(T53&gt;0,T53*Parameters!$D$15,0)</f>
        <v>92.705349106803581</v>
      </c>
      <c r="U54" s="67">
        <f>IF(U53&gt;0,U53*Parameters!$D$15,0)</f>
        <v>300.32517216987179</v>
      </c>
      <c r="V54" s="67">
        <f>IF(V53&gt;0,V53*Parameters!$D$15,0)</f>
        <v>300.32517216987179</v>
      </c>
      <c r="W54" s="67">
        <f>IF(W53&gt;0,W53*Parameters!$D$15,0)</f>
        <v>300.32517216987179</v>
      </c>
      <c r="X54" s="67">
        <f>IF(X53&gt;0,X53*Parameters!$D$15,0)</f>
        <v>300.32517216987179</v>
      </c>
      <c r="Y54" s="67">
        <f>IF(Y53&gt;0,Y53*Parameters!$D$15,0)</f>
        <v>300.32517216987179</v>
      </c>
    </row>
    <row r="55" spans="2:25" s="68" customFormat="1">
      <c r="B55" s="65"/>
      <c r="C55" s="66" t="s">
        <v>69</v>
      </c>
      <c r="D55" s="67">
        <f t="shared" si="10"/>
        <v>13201.055973475388</v>
      </c>
      <c r="E55" s="67"/>
      <c r="F55" s="67">
        <f>F53-F54</f>
        <v>-1221.994511604641</v>
      </c>
      <c r="G55" s="67">
        <f t="shared" ref="G55:Y55" si="39">G53-G54</f>
        <v>-1073.3105013333598</v>
      </c>
      <c r="H55" s="67">
        <f t="shared" si="39"/>
        <v>-924.62649106208028</v>
      </c>
      <c r="I55" s="67">
        <f t="shared" si="39"/>
        <v>-775.9424807908008</v>
      </c>
      <c r="J55" s="67">
        <f t="shared" si="39"/>
        <v>-343.89046881011836</v>
      </c>
      <c r="K55" s="67">
        <f t="shared" si="39"/>
        <v>-102.08477101747212</v>
      </c>
      <c r="L55" s="67">
        <f t="shared" si="39"/>
        <v>41.93931532842744</v>
      </c>
      <c r="M55" s="67">
        <f t="shared" si="39"/>
        <v>175.75492457257897</v>
      </c>
      <c r="N55" s="67">
        <f t="shared" si="39"/>
        <v>309.57053381673131</v>
      </c>
      <c r="O55" s="67">
        <f t="shared" si="39"/>
        <v>432.88403625686999</v>
      </c>
      <c r="P55" s="67">
        <f t="shared" si="39"/>
        <v>432.90131422877641</v>
      </c>
      <c r="Q55" s="67">
        <f t="shared" si="39"/>
        <v>533.26302116189061</v>
      </c>
      <c r="R55" s="67">
        <f t="shared" si="39"/>
        <v>633.62472809500434</v>
      </c>
      <c r="S55" s="67">
        <f t="shared" si="39"/>
        <v>733.98643502811854</v>
      </c>
      <c r="T55" s="67">
        <f t="shared" si="39"/>
        <v>834.34814196123216</v>
      </c>
      <c r="U55" s="67">
        <f t="shared" si="39"/>
        <v>2702.9265495288464</v>
      </c>
      <c r="V55" s="67">
        <f t="shared" si="39"/>
        <v>2702.9265495288464</v>
      </c>
      <c r="W55" s="67">
        <f t="shared" si="39"/>
        <v>2702.9265495288464</v>
      </c>
      <c r="X55" s="67">
        <f t="shared" si="39"/>
        <v>2702.9265495288464</v>
      </c>
      <c r="Y55" s="67">
        <f t="shared" si="39"/>
        <v>2702.9265495288464</v>
      </c>
    </row>
    <row r="56" spans="2:25">
      <c r="B56" s="57"/>
      <c r="C56" s="58"/>
      <c r="D56" s="59"/>
      <c r="E56" s="59"/>
      <c r="F56" s="59"/>
      <c r="G56" s="59"/>
      <c r="H56" s="59"/>
      <c r="I56" s="59"/>
      <c r="J56" s="59"/>
      <c r="K56" s="59"/>
      <c r="L56" s="59"/>
      <c r="M56" s="59"/>
      <c r="N56" s="59"/>
      <c r="O56" s="59"/>
      <c r="P56" s="59"/>
      <c r="Q56" s="59"/>
      <c r="R56" s="59"/>
      <c r="S56" s="59"/>
      <c r="T56" s="59"/>
      <c r="U56" s="59"/>
      <c r="V56" s="59"/>
      <c r="W56" s="59"/>
      <c r="X56" s="59"/>
      <c r="Y56" s="59"/>
    </row>
    <row r="57" spans="2:25" ht="15.75" thickBot="1"/>
    <row r="58" spans="2:25" ht="16.5" thickTop="1" thickBot="1">
      <c r="B58" s="101" t="s">
        <v>137</v>
      </c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  <c r="Q58" s="101"/>
      <c r="R58" s="101"/>
      <c r="S58" s="101"/>
      <c r="T58" s="101"/>
      <c r="U58" s="101"/>
      <c r="V58" s="101"/>
      <c r="W58" s="101"/>
      <c r="X58" s="101"/>
      <c r="Y58" s="102"/>
    </row>
    <row r="59" spans="2:25" s="54" customFormat="1" ht="15.75" thickTop="1">
      <c r="B59" s="60" t="s">
        <v>83</v>
      </c>
      <c r="C59" s="61"/>
      <c r="D59" s="62" t="s">
        <v>84</v>
      </c>
      <c r="E59" s="63">
        <v>1</v>
      </c>
      <c r="F59" s="63">
        <v>2</v>
      </c>
      <c r="G59" s="63">
        <v>3</v>
      </c>
      <c r="H59" s="63">
        <v>4</v>
      </c>
      <c r="I59" s="63">
        <v>5</v>
      </c>
      <c r="J59" s="63">
        <v>6</v>
      </c>
      <c r="K59" s="63">
        <v>7</v>
      </c>
      <c r="L59" s="63">
        <v>8</v>
      </c>
      <c r="M59" s="63">
        <v>9</v>
      </c>
      <c r="N59" s="63">
        <v>10</v>
      </c>
      <c r="O59" s="63">
        <v>11</v>
      </c>
      <c r="P59" s="63">
        <v>12</v>
      </c>
      <c r="Q59" s="63">
        <v>13</v>
      </c>
      <c r="R59" s="63">
        <v>14</v>
      </c>
      <c r="S59" s="63">
        <v>15</v>
      </c>
      <c r="T59" s="63">
        <v>16</v>
      </c>
      <c r="U59" s="63">
        <v>17</v>
      </c>
      <c r="V59" s="63">
        <v>18</v>
      </c>
      <c r="W59" s="63">
        <v>19</v>
      </c>
      <c r="X59" s="63">
        <v>20</v>
      </c>
      <c r="Y59" s="64">
        <v>21</v>
      </c>
    </row>
    <row r="60" spans="2:25">
      <c r="B60" s="75"/>
      <c r="C60" s="76" t="s">
        <v>70</v>
      </c>
      <c r="D60" s="74"/>
      <c r="E60" s="74"/>
      <c r="F60" s="74"/>
      <c r="G60" s="74"/>
      <c r="H60" s="74"/>
      <c r="I60" s="74"/>
      <c r="J60" s="74"/>
      <c r="K60" s="74"/>
      <c r="L60" s="74"/>
      <c r="M60" s="74"/>
      <c r="N60" s="74"/>
      <c r="O60" s="74"/>
      <c r="P60" s="74"/>
      <c r="Q60" s="74"/>
      <c r="R60" s="74"/>
      <c r="S60" s="74"/>
      <c r="T60" s="74"/>
      <c r="U60" s="74"/>
      <c r="V60" s="74"/>
      <c r="W60" s="74"/>
      <c r="X60" s="74"/>
      <c r="Y60" s="67"/>
    </row>
    <row r="61" spans="2:25">
      <c r="B61" s="75">
        <v>1</v>
      </c>
      <c r="C61" s="66" t="s">
        <v>71</v>
      </c>
      <c r="D61" s="74">
        <f>SUM(E61:Y61)</f>
        <v>124359.94403313079</v>
      </c>
      <c r="E61" s="74">
        <f>E62</f>
        <v>0</v>
      </c>
      <c r="F61" s="74">
        <f>SUM(F62:F66)</f>
        <v>6477.8373000000011</v>
      </c>
      <c r="G61" s="74">
        <f t="shared" ref="G61:X61" si="40">SUM(G62:G66)</f>
        <v>6477.8373000000011</v>
      </c>
      <c r="H61" s="74">
        <f t="shared" si="40"/>
        <v>6477.8373000000011</v>
      </c>
      <c r="I61" s="74">
        <f t="shared" si="40"/>
        <v>6477.8373000000011</v>
      </c>
      <c r="J61" s="74">
        <f>SUM(J62:J66)</f>
        <v>6123.6272978632487</v>
      </c>
      <c r="K61" s="74">
        <f t="shared" si="40"/>
        <v>6007.2251884615389</v>
      </c>
      <c r="L61" s="74">
        <f t="shared" si="40"/>
        <v>6007.2251884615389</v>
      </c>
      <c r="M61" s="74">
        <f t="shared" si="40"/>
        <v>6007.2251884615389</v>
      </c>
      <c r="N61" s="74">
        <f t="shared" si="40"/>
        <v>6007.2251884615389</v>
      </c>
      <c r="O61" s="74">
        <f t="shared" si="40"/>
        <v>6007.2251884615389</v>
      </c>
      <c r="P61" s="74">
        <f t="shared" si="40"/>
        <v>6007.2251884615389</v>
      </c>
      <c r="Q61" s="74">
        <f t="shared" si="40"/>
        <v>6007.2251884615389</v>
      </c>
      <c r="R61" s="74">
        <f t="shared" si="40"/>
        <v>6007.2251884615389</v>
      </c>
      <c r="S61" s="74">
        <f t="shared" si="40"/>
        <v>6007.2251884615389</v>
      </c>
      <c r="T61" s="74">
        <f t="shared" si="40"/>
        <v>6007.2251884615389</v>
      </c>
      <c r="U61" s="74">
        <f t="shared" si="40"/>
        <v>6007.2251884615389</v>
      </c>
      <c r="V61" s="74">
        <f t="shared" si="40"/>
        <v>6007.2251884615389</v>
      </c>
      <c r="W61" s="74">
        <f t="shared" si="40"/>
        <v>6007.2251884615389</v>
      </c>
      <c r="X61" s="74">
        <f t="shared" si="40"/>
        <v>6007.2251884615389</v>
      </c>
      <c r="Y61" s="74">
        <f>SUM(Y62:Y66)</f>
        <v>8223.8148968059832</v>
      </c>
    </row>
    <row r="62" spans="2:25" s="68" customFormat="1">
      <c r="B62" s="65">
        <v>1.1000000000000001</v>
      </c>
      <c r="C62" s="66" t="s">
        <v>49</v>
      </c>
      <c r="D62" s="67">
        <f t="shared" ref="D62:D73" si="41">SUM(E62:Y62)</f>
        <v>110732.26153846159</v>
      </c>
      <c r="E62" s="67"/>
      <c r="F62" s="67">
        <f>F32</f>
        <v>5536.6130769230776</v>
      </c>
      <c r="G62" s="67">
        <f t="shared" ref="G62:Y62" si="42">G32</f>
        <v>5536.6130769230776</v>
      </c>
      <c r="H62" s="67">
        <f t="shared" si="42"/>
        <v>5536.6130769230776</v>
      </c>
      <c r="I62" s="67">
        <f t="shared" si="42"/>
        <v>5536.6130769230776</v>
      </c>
      <c r="J62" s="67">
        <f t="shared" si="42"/>
        <v>5536.6130769230776</v>
      </c>
      <c r="K62" s="67">
        <f t="shared" si="42"/>
        <v>5536.6130769230776</v>
      </c>
      <c r="L62" s="67">
        <f t="shared" si="42"/>
        <v>5536.6130769230776</v>
      </c>
      <c r="M62" s="67">
        <f t="shared" si="42"/>
        <v>5536.6130769230776</v>
      </c>
      <c r="N62" s="67">
        <f t="shared" si="42"/>
        <v>5536.6130769230776</v>
      </c>
      <c r="O62" s="67">
        <f t="shared" si="42"/>
        <v>5536.6130769230776</v>
      </c>
      <c r="P62" s="67">
        <f t="shared" si="42"/>
        <v>5536.6130769230776</v>
      </c>
      <c r="Q62" s="67">
        <f t="shared" si="42"/>
        <v>5536.6130769230776</v>
      </c>
      <c r="R62" s="67">
        <f t="shared" si="42"/>
        <v>5536.6130769230776</v>
      </c>
      <c r="S62" s="67">
        <f t="shared" si="42"/>
        <v>5536.6130769230776</v>
      </c>
      <c r="T62" s="67">
        <f t="shared" si="42"/>
        <v>5536.6130769230776</v>
      </c>
      <c r="U62" s="67">
        <f t="shared" si="42"/>
        <v>5536.6130769230776</v>
      </c>
      <c r="V62" s="67">
        <f t="shared" si="42"/>
        <v>5536.6130769230776</v>
      </c>
      <c r="W62" s="67">
        <f t="shared" si="42"/>
        <v>5536.6130769230776</v>
      </c>
      <c r="X62" s="67">
        <f t="shared" si="42"/>
        <v>5536.6130769230776</v>
      </c>
      <c r="Y62" s="67">
        <f t="shared" si="42"/>
        <v>5536.6130769230776</v>
      </c>
    </row>
    <row r="63" spans="2:25" s="68" customFormat="1">
      <c r="B63" s="65">
        <v>1.2</v>
      </c>
      <c r="C63" s="66" t="s">
        <v>148</v>
      </c>
      <c r="D63" s="67">
        <f t="shared" si="41"/>
        <v>3997.7011111111115</v>
      </c>
      <c r="E63" s="67"/>
      <c r="F63" s="67">
        <f>F36</f>
        <v>941.22422307692329</v>
      </c>
      <c r="G63" s="67">
        <f t="shared" ref="G63:N63" si="43">G36</f>
        <v>941.22422307692329</v>
      </c>
      <c r="H63" s="67">
        <f t="shared" si="43"/>
        <v>941.22422307692329</v>
      </c>
      <c r="I63" s="67">
        <f t="shared" si="43"/>
        <v>941.22422307692329</v>
      </c>
      <c r="J63" s="67">
        <f t="shared" si="43"/>
        <v>232.80421880341828</v>
      </c>
      <c r="K63" s="67">
        <f t="shared" si="43"/>
        <v>0</v>
      </c>
      <c r="L63" s="67">
        <f t="shared" si="43"/>
        <v>0</v>
      </c>
      <c r="M63" s="67">
        <f t="shared" si="43"/>
        <v>0</v>
      </c>
      <c r="N63" s="67">
        <f t="shared" si="43"/>
        <v>0</v>
      </c>
      <c r="O63" s="67">
        <v>0</v>
      </c>
      <c r="P63" s="67">
        <f t="shared" ref="P63:Y63" si="44">P36</f>
        <v>0</v>
      </c>
      <c r="Q63" s="67">
        <f t="shared" si="44"/>
        <v>0</v>
      </c>
      <c r="R63" s="67">
        <f t="shared" si="44"/>
        <v>0</v>
      </c>
      <c r="S63" s="67">
        <f t="shared" si="44"/>
        <v>0</v>
      </c>
      <c r="T63" s="67">
        <f t="shared" si="44"/>
        <v>0</v>
      </c>
      <c r="U63" s="67">
        <f t="shared" si="44"/>
        <v>0</v>
      </c>
      <c r="V63" s="67">
        <f t="shared" si="44"/>
        <v>0</v>
      </c>
      <c r="W63" s="67">
        <f t="shared" si="44"/>
        <v>0</v>
      </c>
      <c r="X63" s="67">
        <f t="shared" si="44"/>
        <v>0</v>
      </c>
      <c r="Y63" s="67">
        <f t="shared" si="44"/>
        <v>0</v>
      </c>
    </row>
    <row r="64" spans="2:25" s="68" customFormat="1">
      <c r="B64" s="65">
        <v>1.3</v>
      </c>
      <c r="C64" s="66" t="s">
        <v>72</v>
      </c>
      <c r="D64" s="67">
        <f t="shared" si="41"/>
        <v>7413.3916752136747</v>
      </c>
      <c r="E64" s="67"/>
      <c r="F64" s="67">
        <f>F38</f>
        <v>0</v>
      </c>
      <c r="G64" s="67">
        <f t="shared" ref="G64:Y64" si="45">G38</f>
        <v>0</v>
      </c>
      <c r="H64" s="67">
        <f t="shared" si="45"/>
        <v>0</v>
      </c>
      <c r="I64" s="67">
        <f>I38</f>
        <v>0</v>
      </c>
      <c r="J64" s="67">
        <f>J38</f>
        <v>354.21000213675251</v>
      </c>
      <c r="K64" s="67">
        <f t="shared" si="45"/>
        <v>470.61211153846165</v>
      </c>
      <c r="L64" s="67">
        <f t="shared" si="45"/>
        <v>470.61211153846165</v>
      </c>
      <c r="M64" s="67">
        <f t="shared" si="45"/>
        <v>470.61211153846165</v>
      </c>
      <c r="N64" s="67">
        <f t="shared" si="45"/>
        <v>470.61211153846165</v>
      </c>
      <c r="O64" s="67">
        <f t="shared" si="45"/>
        <v>470.61211153846165</v>
      </c>
      <c r="P64" s="67">
        <f t="shared" si="45"/>
        <v>470.61211153846165</v>
      </c>
      <c r="Q64" s="67">
        <f t="shared" si="45"/>
        <v>470.61211153846165</v>
      </c>
      <c r="R64" s="67">
        <f t="shared" si="45"/>
        <v>470.61211153846165</v>
      </c>
      <c r="S64" s="67">
        <f t="shared" si="45"/>
        <v>470.61211153846165</v>
      </c>
      <c r="T64" s="67">
        <f t="shared" si="45"/>
        <v>470.61211153846165</v>
      </c>
      <c r="U64" s="67">
        <f t="shared" si="45"/>
        <v>470.61211153846165</v>
      </c>
      <c r="V64" s="67">
        <f t="shared" si="45"/>
        <v>470.61211153846165</v>
      </c>
      <c r="W64" s="67">
        <f t="shared" si="45"/>
        <v>470.61211153846165</v>
      </c>
      <c r="X64" s="67">
        <f t="shared" si="45"/>
        <v>470.61211153846165</v>
      </c>
      <c r="Y64" s="67">
        <f t="shared" si="45"/>
        <v>470.61211153846165</v>
      </c>
    </row>
    <row r="65" spans="2:25" s="68" customFormat="1">
      <c r="B65" s="65">
        <v>1.4</v>
      </c>
      <c r="C65" s="66" t="s">
        <v>73</v>
      </c>
      <c r="D65" s="67">
        <f t="shared" si="41"/>
        <v>2068.0897083444447</v>
      </c>
      <c r="E65" s="67"/>
      <c r="F65" s="67"/>
      <c r="G65" s="67"/>
      <c r="H65" s="67"/>
      <c r="I65" s="67"/>
      <c r="J65" s="67"/>
      <c r="K65" s="67"/>
      <c r="L65" s="67"/>
      <c r="M65" s="67"/>
      <c r="N65" s="67"/>
      <c r="O65" s="67"/>
      <c r="P65" s="67"/>
      <c r="Q65" s="67"/>
      <c r="R65" s="67"/>
      <c r="S65" s="67"/>
      <c r="T65" s="67"/>
      <c r="U65" s="67"/>
      <c r="V65" s="67"/>
      <c r="W65" s="67"/>
      <c r="X65" s="67"/>
      <c r="Y65" s="67">
        <f>(Parameters!$D$23+Parameters!$D$27-Parameters!$D$13)*Parameters!$D$17</f>
        <v>2068.0897083444447</v>
      </c>
    </row>
    <row r="66" spans="2:25" s="68" customFormat="1">
      <c r="B66" s="65">
        <v>1.5</v>
      </c>
      <c r="C66" s="66" t="s">
        <v>74</v>
      </c>
      <c r="D66" s="67">
        <f t="shared" si="41"/>
        <v>148.5</v>
      </c>
      <c r="E66" s="67"/>
      <c r="F66" s="67"/>
      <c r="G66" s="67"/>
      <c r="H66" s="67"/>
      <c r="I66" s="67"/>
      <c r="J66" s="67"/>
      <c r="K66" s="67"/>
      <c r="L66" s="67"/>
      <c r="M66" s="67"/>
      <c r="N66" s="67"/>
      <c r="O66" s="67"/>
      <c r="P66" s="67"/>
      <c r="Q66" s="67"/>
      <c r="R66" s="67"/>
      <c r="S66" s="67"/>
      <c r="T66" s="67"/>
      <c r="U66" s="67"/>
      <c r="V66" s="67"/>
      <c r="W66" s="67"/>
      <c r="X66" s="67"/>
      <c r="Y66" s="67">
        <f>Parameters!D24</f>
        <v>148.5</v>
      </c>
    </row>
    <row r="67" spans="2:25" s="68" customFormat="1">
      <c r="B67" s="65">
        <v>2</v>
      </c>
      <c r="C67" s="66" t="s">
        <v>75</v>
      </c>
      <c r="D67" s="67">
        <f t="shared" si="41"/>
        <v>83968.50867948716</v>
      </c>
      <c r="E67" s="67">
        <f>E68+E69+E70+E71</f>
        <v>44277.58</v>
      </c>
      <c r="F67" s="67">
        <f>F68+F69+F70+F71</f>
        <v>2051.4875172222219</v>
      </c>
      <c r="G67" s="67">
        <f t="shared" ref="G67:Y67" si="46">G68+G69+G70+G71</f>
        <v>1902.9875172222221</v>
      </c>
      <c r="H67" s="67">
        <f t="shared" si="46"/>
        <v>1902.9875172222221</v>
      </c>
      <c r="I67" s="67">
        <f t="shared" si="46"/>
        <v>1902.9875172222221</v>
      </c>
      <c r="J67" s="67">
        <f t="shared" si="46"/>
        <v>1973.8295176495726</v>
      </c>
      <c r="K67" s="67">
        <f t="shared" si="46"/>
        <v>1997.1099395299145</v>
      </c>
      <c r="L67" s="67">
        <f>L68+L69+L70+L71</f>
        <v>1997.1099395299145</v>
      </c>
      <c r="M67" s="67">
        <f t="shared" si="46"/>
        <v>1997.1099395299145</v>
      </c>
      <c r="N67" s="67">
        <f t="shared" si="46"/>
        <v>1997.1099395299145</v>
      </c>
      <c r="O67" s="67">
        <f t="shared" si="46"/>
        <v>1997.1099395299145</v>
      </c>
      <c r="P67" s="67">
        <f t="shared" si="46"/>
        <v>1997.1099395299145</v>
      </c>
      <c r="Q67" s="67">
        <f t="shared" si="46"/>
        <v>1997.1099395299145</v>
      </c>
      <c r="R67" s="67">
        <f t="shared" si="46"/>
        <v>1997.1099395299145</v>
      </c>
      <c r="S67" s="67">
        <f t="shared" si="46"/>
        <v>1997.1099395299145</v>
      </c>
      <c r="T67" s="67">
        <f t="shared" si="46"/>
        <v>1997.1099395299145</v>
      </c>
      <c r="U67" s="67">
        <f t="shared" si="46"/>
        <v>1997.1099395299145</v>
      </c>
      <c r="V67" s="67">
        <f t="shared" si="46"/>
        <v>1997.1099395299145</v>
      </c>
      <c r="W67" s="67">
        <f t="shared" si="46"/>
        <v>1997.1099395299145</v>
      </c>
      <c r="X67" s="67">
        <f t="shared" si="46"/>
        <v>1997.1099395299145</v>
      </c>
      <c r="Y67" s="67">
        <f t="shared" si="46"/>
        <v>1997.1099395299145</v>
      </c>
    </row>
    <row r="68" spans="2:25" s="68" customFormat="1">
      <c r="B68" s="65">
        <v>2.1</v>
      </c>
      <c r="C68" s="66" t="s">
        <v>76</v>
      </c>
      <c r="D68" s="67">
        <f t="shared" si="41"/>
        <v>44277.58</v>
      </c>
      <c r="E68" s="67">
        <f>Parameters!D23</f>
        <v>44277.58</v>
      </c>
      <c r="F68" s="67"/>
      <c r="G68" s="67"/>
      <c r="H68" s="67"/>
      <c r="I68" s="67"/>
      <c r="J68" s="67"/>
      <c r="K68" s="67"/>
      <c r="L68" s="67"/>
      <c r="M68" s="67"/>
      <c r="N68" s="67"/>
      <c r="O68" s="67"/>
      <c r="P68" s="67"/>
      <c r="Q68" s="67"/>
      <c r="R68" s="67"/>
      <c r="S68" s="67"/>
      <c r="T68" s="67"/>
      <c r="U68" s="67"/>
      <c r="V68" s="67"/>
      <c r="W68" s="67"/>
      <c r="X68" s="67"/>
      <c r="Y68" s="67"/>
    </row>
    <row r="69" spans="2:25" s="68" customFormat="1">
      <c r="B69" s="65">
        <v>2.2000000000000002</v>
      </c>
      <c r="C69" s="66" t="s">
        <v>77</v>
      </c>
      <c r="D69" s="67">
        <f t="shared" si="41"/>
        <v>148.5</v>
      </c>
      <c r="E69" s="67"/>
      <c r="F69" s="67">
        <f>Parameters!D24</f>
        <v>148.5</v>
      </c>
      <c r="G69" s="67"/>
      <c r="H69" s="67"/>
      <c r="I69" s="67"/>
      <c r="J69" s="67"/>
      <c r="K69" s="67"/>
      <c r="L69" s="67"/>
      <c r="M69" s="67"/>
      <c r="N69" s="67"/>
      <c r="O69" s="67"/>
      <c r="P69" s="67"/>
      <c r="Q69" s="67"/>
      <c r="R69" s="67"/>
      <c r="S69" s="67"/>
      <c r="T69" s="67"/>
      <c r="U69" s="67"/>
      <c r="V69" s="67"/>
      <c r="W69" s="67"/>
      <c r="X69" s="67"/>
      <c r="Y69" s="67"/>
    </row>
    <row r="70" spans="2:25" s="68" customFormat="1">
      <c r="B70" s="65">
        <v>2.2999999999999998</v>
      </c>
      <c r="C70" s="66" t="s">
        <v>78</v>
      </c>
      <c r="D70" s="67">
        <f t="shared" si="41"/>
        <v>38059.750344444459</v>
      </c>
      <c r="E70" s="67"/>
      <c r="F70" s="67">
        <f>F12</f>
        <v>1902.9875172222221</v>
      </c>
      <c r="G70" s="67">
        <f t="shared" ref="G70:Y70" si="47">G12</f>
        <v>1902.9875172222221</v>
      </c>
      <c r="H70" s="67">
        <f t="shared" si="47"/>
        <v>1902.9875172222221</v>
      </c>
      <c r="I70" s="67">
        <f t="shared" si="47"/>
        <v>1902.9875172222221</v>
      </c>
      <c r="J70" s="67">
        <f t="shared" si="47"/>
        <v>1902.9875172222221</v>
      </c>
      <c r="K70" s="67">
        <f t="shared" si="47"/>
        <v>1902.9875172222221</v>
      </c>
      <c r="L70" s="67">
        <f t="shared" si="47"/>
        <v>1902.9875172222221</v>
      </c>
      <c r="M70" s="67">
        <f t="shared" si="47"/>
        <v>1902.9875172222221</v>
      </c>
      <c r="N70" s="67">
        <f t="shared" si="47"/>
        <v>1902.9875172222221</v>
      </c>
      <c r="O70" s="67">
        <f t="shared" si="47"/>
        <v>1902.9875172222221</v>
      </c>
      <c r="P70" s="67">
        <f t="shared" si="47"/>
        <v>1902.9875172222221</v>
      </c>
      <c r="Q70" s="67">
        <f t="shared" si="47"/>
        <v>1902.9875172222221</v>
      </c>
      <c r="R70" s="67">
        <f t="shared" si="47"/>
        <v>1902.9875172222221</v>
      </c>
      <c r="S70" s="67">
        <f t="shared" si="47"/>
        <v>1902.9875172222221</v>
      </c>
      <c r="T70" s="67">
        <f t="shared" si="47"/>
        <v>1902.9875172222221</v>
      </c>
      <c r="U70" s="67">
        <f t="shared" si="47"/>
        <v>1902.9875172222221</v>
      </c>
      <c r="V70" s="67">
        <f t="shared" si="47"/>
        <v>1902.9875172222221</v>
      </c>
      <c r="W70" s="67">
        <f t="shared" si="47"/>
        <v>1902.9875172222221</v>
      </c>
      <c r="X70" s="67">
        <f t="shared" si="47"/>
        <v>1902.9875172222221</v>
      </c>
      <c r="Y70" s="67">
        <f t="shared" si="47"/>
        <v>1902.9875172222221</v>
      </c>
    </row>
    <row r="71" spans="2:25" s="68" customFormat="1">
      <c r="B71" s="65">
        <v>2.4</v>
      </c>
      <c r="C71" s="66" t="s">
        <v>55</v>
      </c>
      <c r="D71" s="67">
        <f t="shared" si="41"/>
        <v>1482.6783350427359</v>
      </c>
      <c r="E71" s="67"/>
      <c r="F71" s="67">
        <f>F40</f>
        <v>0</v>
      </c>
      <c r="G71" s="67">
        <f t="shared" ref="G71:Y71" si="48">G40</f>
        <v>0</v>
      </c>
      <c r="H71" s="67">
        <f t="shared" si="48"/>
        <v>0</v>
      </c>
      <c r="I71" s="67">
        <f t="shared" si="48"/>
        <v>0</v>
      </c>
      <c r="J71" s="67">
        <f t="shared" si="48"/>
        <v>70.842000427350499</v>
      </c>
      <c r="K71" s="67">
        <f t="shared" si="48"/>
        <v>94.122422307692332</v>
      </c>
      <c r="L71" s="67">
        <f t="shared" si="48"/>
        <v>94.122422307692332</v>
      </c>
      <c r="M71" s="67">
        <f t="shared" si="48"/>
        <v>94.122422307692332</v>
      </c>
      <c r="N71" s="67">
        <f t="shared" si="48"/>
        <v>94.122422307692332</v>
      </c>
      <c r="O71" s="67">
        <f t="shared" si="48"/>
        <v>94.122422307692332</v>
      </c>
      <c r="P71" s="67">
        <f t="shared" si="48"/>
        <v>94.122422307692332</v>
      </c>
      <c r="Q71" s="67">
        <f t="shared" si="48"/>
        <v>94.122422307692332</v>
      </c>
      <c r="R71" s="67">
        <f t="shared" si="48"/>
        <v>94.122422307692332</v>
      </c>
      <c r="S71" s="67">
        <f t="shared" si="48"/>
        <v>94.122422307692332</v>
      </c>
      <c r="T71" s="67">
        <f t="shared" si="48"/>
        <v>94.122422307692332</v>
      </c>
      <c r="U71" s="67">
        <f t="shared" si="48"/>
        <v>94.122422307692332</v>
      </c>
      <c r="V71" s="67">
        <f t="shared" si="48"/>
        <v>94.122422307692332</v>
      </c>
      <c r="W71" s="67">
        <f t="shared" si="48"/>
        <v>94.122422307692332</v>
      </c>
      <c r="X71" s="67">
        <f t="shared" si="48"/>
        <v>94.122422307692332</v>
      </c>
      <c r="Y71" s="67">
        <f t="shared" si="48"/>
        <v>94.122422307692332</v>
      </c>
    </row>
    <row r="72" spans="2:25" s="68" customFormat="1">
      <c r="B72" s="65">
        <v>3</v>
      </c>
      <c r="C72" s="66" t="s">
        <v>64</v>
      </c>
      <c r="D72" s="67">
        <f t="shared" si="41"/>
        <v>6190.4676698264057</v>
      </c>
      <c r="E72" s="67"/>
      <c r="F72" s="67">
        <f>F52</f>
        <v>0</v>
      </c>
      <c r="G72" s="67">
        <f>G52</f>
        <v>0</v>
      </c>
      <c r="H72" s="67">
        <f t="shared" ref="H72:X72" si="49">H52</f>
        <v>0</v>
      </c>
      <c r="I72" s="67">
        <f t="shared" si="49"/>
        <v>0</v>
      </c>
      <c r="J72" s="67">
        <f t="shared" si="49"/>
        <v>0</v>
      </c>
      <c r="K72" s="67">
        <f t="shared" si="49"/>
        <v>0</v>
      </c>
      <c r="L72" s="67">
        <f t="shared" si="49"/>
        <v>0</v>
      </c>
      <c r="M72" s="67">
        <f t="shared" si="49"/>
        <v>0</v>
      </c>
      <c r="N72" s="67">
        <f t="shared" si="49"/>
        <v>0</v>
      </c>
      <c r="O72" s="67">
        <f t="shared" si="49"/>
        <v>11.669007560014279</v>
      </c>
      <c r="P72" s="67">
        <f t="shared" si="49"/>
        <v>160.333820084732</v>
      </c>
      <c r="Q72" s="67">
        <f t="shared" si="49"/>
        <v>197.50482265255209</v>
      </c>
      <c r="R72" s="67">
        <f t="shared" si="49"/>
        <v>234.67582522037196</v>
      </c>
      <c r="S72" s="67">
        <f t="shared" si="49"/>
        <v>271.84682778819206</v>
      </c>
      <c r="T72" s="67">
        <f t="shared" si="49"/>
        <v>309.01783035601193</v>
      </c>
      <c r="U72" s="67">
        <f t="shared" si="49"/>
        <v>1001.0839072329061</v>
      </c>
      <c r="V72" s="67">
        <f t="shared" si="49"/>
        <v>1001.0839072329061</v>
      </c>
      <c r="W72" s="67">
        <f t="shared" si="49"/>
        <v>1001.0839072329061</v>
      </c>
      <c r="X72" s="67">
        <f t="shared" si="49"/>
        <v>1001.0839072329061</v>
      </c>
      <c r="Y72" s="67">
        <f>Y52</f>
        <v>1001.0839072329061</v>
      </c>
    </row>
    <row r="73" spans="2:25">
      <c r="B73" s="65">
        <v>4</v>
      </c>
      <c r="C73" s="66" t="s">
        <v>79</v>
      </c>
      <c r="D73" s="74">
        <f t="shared" si="41"/>
        <v>34200.967683817187</v>
      </c>
      <c r="E73" s="74">
        <f>E61-E67-E72</f>
        <v>-44277.58</v>
      </c>
      <c r="F73" s="74">
        <f>F61-F67-F72</f>
        <v>4426.3497827777792</v>
      </c>
      <c r="G73" s="74">
        <f t="shared" ref="G73:Y73" si="50">G61-G67-G72</f>
        <v>4574.8497827777792</v>
      </c>
      <c r="H73" s="74">
        <f t="shared" si="50"/>
        <v>4574.8497827777792</v>
      </c>
      <c r="I73" s="74">
        <f t="shared" si="50"/>
        <v>4574.8497827777792</v>
      </c>
      <c r="J73" s="74">
        <f t="shared" si="50"/>
        <v>4149.7977802136757</v>
      </c>
      <c r="K73" s="74">
        <f t="shared" si="50"/>
        <v>4010.1152489316246</v>
      </c>
      <c r="L73" s="74">
        <f t="shared" si="50"/>
        <v>4010.1152489316246</v>
      </c>
      <c r="M73" s="74">
        <f t="shared" si="50"/>
        <v>4010.1152489316246</v>
      </c>
      <c r="N73" s="74">
        <f t="shared" si="50"/>
        <v>4010.1152489316246</v>
      </c>
      <c r="O73" s="74">
        <f t="shared" si="50"/>
        <v>3998.4462413716101</v>
      </c>
      <c r="P73" s="74">
        <f t="shared" si="50"/>
        <v>3849.7814288468926</v>
      </c>
      <c r="Q73" s="74">
        <f t="shared" si="50"/>
        <v>3812.6104262790723</v>
      </c>
      <c r="R73" s="74">
        <f t="shared" si="50"/>
        <v>3775.4394237112529</v>
      </c>
      <c r="S73" s="74">
        <f t="shared" si="50"/>
        <v>3738.2684211434325</v>
      </c>
      <c r="T73" s="74">
        <f t="shared" si="50"/>
        <v>3701.0974185756127</v>
      </c>
      <c r="U73" s="74">
        <f t="shared" si="50"/>
        <v>3009.0313416987183</v>
      </c>
      <c r="V73" s="74">
        <f t="shared" si="50"/>
        <v>3009.0313416987183</v>
      </c>
      <c r="W73" s="74">
        <f t="shared" si="50"/>
        <v>3009.0313416987183</v>
      </c>
      <c r="X73" s="74">
        <f t="shared" si="50"/>
        <v>3009.0313416987183</v>
      </c>
      <c r="Y73" s="74">
        <f t="shared" si="50"/>
        <v>5225.6210500431625</v>
      </c>
    </row>
    <row r="74" spans="2:25">
      <c r="B74" s="65">
        <v>5</v>
      </c>
      <c r="C74" s="66" t="s">
        <v>4</v>
      </c>
      <c r="D74" s="78">
        <f>IRR(E73:Y73)</f>
        <v>6.590649727822176E-2</v>
      </c>
      <c r="E74" s="74"/>
      <c r="F74" s="74"/>
      <c r="G74" s="74"/>
      <c r="H74" s="74"/>
      <c r="I74" s="74"/>
      <c r="J74" s="74"/>
      <c r="K74" s="74"/>
      <c r="L74" s="74"/>
      <c r="M74" s="74"/>
      <c r="N74" s="74"/>
      <c r="O74" s="74"/>
      <c r="P74" s="74"/>
      <c r="Q74" s="74"/>
      <c r="R74" s="74"/>
      <c r="S74" s="74"/>
      <c r="T74" s="74"/>
      <c r="U74" s="74"/>
      <c r="V74" s="74"/>
      <c r="W74" s="74"/>
      <c r="X74" s="74"/>
      <c r="Y74" s="79"/>
    </row>
    <row r="75" spans="2:25">
      <c r="B75" s="65">
        <v>6</v>
      </c>
      <c r="C75" s="80" t="s">
        <v>80</v>
      </c>
      <c r="D75" s="78"/>
      <c r="F75" s="56">
        <f>Parameters!$D$54*Parameters!$D$55/10000</f>
        <v>951.10287722999999</v>
      </c>
      <c r="G75" s="56">
        <f>Parameters!$D$54*Parameters!$D$55/10000</f>
        <v>951.10287722999999</v>
      </c>
      <c r="H75" s="56">
        <f>Parameters!$D$54*Parameters!$D$55/10000</f>
        <v>951.10287722999999</v>
      </c>
      <c r="I75" s="56">
        <f>Parameters!$D$54*Parameters!$D$55/10000</f>
        <v>951.10287722999999</v>
      </c>
      <c r="J75" s="56">
        <f>Parameters!$D$54*Parameters!$D$55/10000</f>
        <v>951.10287722999999</v>
      </c>
      <c r="K75" s="56">
        <f>Parameters!$D$54*Parameters!$D$55/10000</f>
        <v>951.10287722999999</v>
      </c>
      <c r="L75" s="56">
        <f>Parameters!$D$54*Parameters!$D$55/10000</f>
        <v>951.10287722999999</v>
      </c>
      <c r="M75" s="56">
        <f>Parameters!$D$54*Parameters!$D$55/10000</f>
        <v>951.10287722999999</v>
      </c>
      <c r="N75" s="56">
        <f>Parameters!$D$54*Parameters!$D$55/10000</f>
        <v>951.10287722999999</v>
      </c>
      <c r="O75" s="56">
        <f>Parameters!$D$54*Parameters!$D$55/10000</f>
        <v>951.10287722999999</v>
      </c>
      <c r="P75" s="56">
        <f>Parameters!$D$54*Parameters!$D$55/10000</f>
        <v>951.10287722999999</v>
      </c>
      <c r="Q75" s="56">
        <f>Parameters!$D$54*Parameters!$D$55/10000</f>
        <v>951.10287722999999</v>
      </c>
      <c r="R75" s="56">
        <f>Parameters!$D$54*Parameters!$D$55/10000</f>
        <v>951.10287722999999</v>
      </c>
      <c r="S75" s="56">
        <f>Parameters!$D$54*Parameters!$D$55/10000</f>
        <v>951.10287722999999</v>
      </c>
      <c r="T75" s="56">
        <f>Parameters!$D$54*Parameters!$D$55/10000</f>
        <v>951.10287722999999</v>
      </c>
      <c r="U75" s="56">
        <f>Parameters!$D$54*Parameters!$D$55/10000</f>
        <v>951.10287722999999</v>
      </c>
      <c r="V75" s="56">
        <f>Parameters!$D$54*Parameters!$D$55/10000</f>
        <v>951.10287722999999</v>
      </c>
      <c r="W75" s="56">
        <f>Parameters!$D$54*Parameters!$D$55/10000</f>
        <v>951.10287722999999</v>
      </c>
      <c r="X75" s="56">
        <f>Parameters!$D$54*Parameters!$D$55/10000</f>
        <v>951.10287722999999</v>
      </c>
      <c r="Y75" s="56">
        <f>Parameters!$D$54*Parameters!$D$55/10000</f>
        <v>951.10287722999999</v>
      </c>
    </row>
    <row r="76" spans="2:25">
      <c r="B76" s="65">
        <v>7</v>
      </c>
      <c r="C76" s="66" t="s">
        <v>81</v>
      </c>
      <c r="D76" s="78"/>
      <c r="E76" s="74">
        <f>E73+E75</f>
        <v>-44277.58</v>
      </c>
      <c r="F76" s="74">
        <f t="shared" ref="F76:Y76" si="51">F73+F75</f>
        <v>5377.4526600077788</v>
      </c>
      <c r="G76" s="74">
        <f t="shared" si="51"/>
        <v>5525.9526600077788</v>
      </c>
      <c r="H76" s="74">
        <f t="shared" si="51"/>
        <v>5525.9526600077788</v>
      </c>
      <c r="I76" s="74">
        <f t="shared" si="51"/>
        <v>5525.9526600077788</v>
      </c>
      <c r="J76" s="74">
        <f t="shared" si="51"/>
        <v>5100.9006574436753</v>
      </c>
      <c r="K76" s="74">
        <f t="shared" si="51"/>
        <v>4961.2181261616242</v>
      </c>
      <c r="L76" s="74">
        <f t="shared" si="51"/>
        <v>4961.2181261616242</v>
      </c>
      <c r="M76" s="74">
        <f t="shared" si="51"/>
        <v>4961.2181261616242</v>
      </c>
      <c r="N76" s="74">
        <f t="shared" si="51"/>
        <v>4961.2181261616242</v>
      </c>
      <c r="O76" s="74">
        <f t="shared" si="51"/>
        <v>4949.5491186016097</v>
      </c>
      <c r="P76" s="74">
        <f t="shared" si="51"/>
        <v>4800.8843060768922</v>
      </c>
      <c r="Q76" s="74">
        <f t="shared" si="51"/>
        <v>4763.7133035090719</v>
      </c>
      <c r="R76" s="74">
        <f t="shared" si="51"/>
        <v>4726.5423009412525</v>
      </c>
      <c r="S76" s="74">
        <f t="shared" si="51"/>
        <v>4689.3712983734322</v>
      </c>
      <c r="T76" s="74">
        <f t="shared" si="51"/>
        <v>4652.2002958056128</v>
      </c>
      <c r="U76" s="74">
        <f t="shared" si="51"/>
        <v>3960.1342189287184</v>
      </c>
      <c r="V76" s="74">
        <f t="shared" si="51"/>
        <v>3960.1342189287184</v>
      </c>
      <c r="W76" s="74">
        <f t="shared" si="51"/>
        <v>3960.1342189287184</v>
      </c>
      <c r="X76" s="74">
        <f t="shared" si="51"/>
        <v>3960.1342189287184</v>
      </c>
      <c r="Y76" s="74">
        <f t="shared" si="51"/>
        <v>6176.7239272731622</v>
      </c>
    </row>
    <row r="77" spans="2:25">
      <c r="B77" s="75">
        <v>8</v>
      </c>
      <c r="C77" s="77" t="s">
        <v>82</v>
      </c>
      <c r="D77" s="78">
        <f>IRR(E76:Y76)</f>
        <v>9.5758422856004194E-2</v>
      </c>
      <c r="E77" s="74"/>
      <c r="F77" s="74"/>
      <c r="G77" s="74"/>
      <c r="H77" s="74"/>
      <c r="I77" s="74"/>
      <c r="J77" s="74"/>
      <c r="K77" s="74"/>
      <c r="L77" s="74"/>
      <c r="M77" s="74"/>
      <c r="N77" s="74"/>
      <c r="O77" s="74"/>
      <c r="P77" s="74"/>
      <c r="Q77" s="74"/>
      <c r="R77" s="74"/>
      <c r="S77" s="74"/>
      <c r="T77" s="74"/>
      <c r="U77" s="74"/>
      <c r="V77" s="74"/>
      <c r="W77" s="74"/>
      <c r="X77" s="74"/>
      <c r="Y77" s="79"/>
    </row>
  </sheetData>
  <mergeCells count="5">
    <mergeCell ref="B3:Y3"/>
    <mergeCell ref="B58:Y58"/>
    <mergeCell ref="B29:Y29"/>
    <mergeCell ref="B45:B51"/>
    <mergeCell ref="B16:Y16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P11"/>
  <sheetViews>
    <sheetView topLeftCell="C10" workbookViewId="0">
      <selection activeCell="M24" sqref="M24"/>
    </sheetView>
  </sheetViews>
  <sheetFormatPr defaultColWidth="8.875" defaultRowHeight="15"/>
  <cols>
    <col min="1" max="1" width="26.875" style="7" bestFit="1" customWidth="1"/>
    <col min="2" max="5" width="6.625" style="7" bestFit="1" customWidth="1"/>
    <col min="6" max="6" width="8.5" style="7" customWidth="1"/>
    <col min="7" max="8" width="6.625" style="7" bestFit="1" customWidth="1"/>
    <col min="9" max="9" width="7.625" style="7" bestFit="1" customWidth="1"/>
    <col min="10" max="10" width="6.625" style="7" bestFit="1" customWidth="1"/>
    <col min="11" max="11" width="4.125" style="7" customWidth="1"/>
    <col min="12" max="12" width="17.625" style="7" customWidth="1"/>
    <col min="13" max="13" width="13" style="7" customWidth="1"/>
    <col min="14" max="14" width="12.625" style="7" customWidth="1"/>
    <col min="15" max="15" width="11.625" style="7" customWidth="1"/>
    <col min="16" max="16" width="12.625" style="7" customWidth="1"/>
    <col min="17" max="16384" width="8.875" style="7"/>
  </cols>
  <sheetData>
    <row r="1" spans="1:16" ht="24" thickBot="1">
      <c r="A1" s="3" t="s">
        <v>5</v>
      </c>
      <c r="B1" s="4"/>
      <c r="C1" s="4"/>
      <c r="D1" s="4"/>
      <c r="E1" s="5"/>
      <c r="F1" s="5"/>
      <c r="G1" s="5"/>
      <c r="H1" s="5"/>
      <c r="I1" s="5"/>
      <c r="J1" s="5"/>
      <c r="K1" s="6"/>
      <c r="L1" s="6"/>
      <c r="M1" s="6"/>
      <c r="N1" s="6"/>
      <c r="O1" s="6"/>
    </row>
    <row r="2" spans="1:16" ht="16.5" thickBot="1">
      <c r="A2" s="5"/>
      <c r="B2" s="5"/>
      <c r="C2" s="5"/>
      <c r="D2" s="5"/>
      <c r="E2" s="5"/>
      <c r="F2" s="5"/>
      <c r="G2" s="5"/>
      <c r="H2" s="5"/>
      <c r="I2" s="5"/>
      <c r="J2" s="5"/>
      <c r="K2" s="6"/>
      <c r="L2" s="106" t="s">
        <v>6</v>
      </c>
      <c r="M2" s="107"/>
      <c r="N2" s="107"/>
      <c r="O2" s="108"/>
    </row>
    <row r="3" spans="1:16" ht="15.75">
      <c r="A3" s="8"/>
      <c r="B3" s="9">
        <v>-0.1</v>
      </c>
      <c r="C3" s="10">
        <v>-7.4999999999999997E-2</v>
      </c>
      <c r="D3" s="10">
        <v>-0.05</v>
      </c>
      <c r="E3" s="10">
        <v>-2.5000000000000001E-2</v>
      </c>
      <c r="F3" s="9">
        <v>0</v>
      </c>
      <c r="G3" s="10">
        <v>2.5000000000000001E-2</v>
      </c>
      <c r="H3" s="10">
        <v>0.05</v>
      </c>
      <c r="I3" s="10">
        <v>7.4999999999999997E-2</v>
      </c>
      <c r="J3" s="11">
        <v>0.1</v>
      </c>
      <c r="K3" s="6"/>
      <c r="L3" s="12"/>
      <c r="M3" s="13" t="s">
        <v>7</v>
      </c>
      <c r="N3" s="13" t="s">
        <v>8</v>
      </c>
      <c r="O3" s="14" t="s">
        <v>9</v>
      </c>
    </row>
    <row r="4" spans="1:16" ht="30">
      <c r="A4" s="15" t="s">
        <v>10</v>
      </c>
      <c r="B4" s="81">
        <v>8.1900000000000001E-2</v>
      </c>
      <c r="C4" s="81">
        <v>7.7700000000000005E-2</v>
      </c>
      <c r="D4" s="81">
        <v>7.3599999999999999E-2</v>
      </c>
      <c r="E4" s="81">
        <v>6.9699999999999998E-2</v>
      </c>
      <c r="F4" s="81">
        <v>6.59E-2</v>
      </c>
      <c r="G4" s="81">
        <v>6.2300000000000001E-2</v>
      </c>
      <c r="H4" s="81">
        <v>5.8700000000000002E-2</v>
      </c>
      <c r="I4" s="81">
        <v>5.5300000000000002E-2</v>
      </c>
      <c r="J4" s="82">
        <v>5.1999999999999998E-2</v>
      </c>
      <c r="K4" s="16"/>
      <c r="L4" s="17" t="s">
        <v>10</v>
      </c>
      <c r="M4" s="18">
        <v>1</v>
      </c>
      <c r="N4" s="18">
        <f>IF(M4=100%,0,M4-100%)</f>
        <v>0</v>
      </c>
      <c r="O4" s="109">
        <f>IRR!D74</f>
        <v>6.590649727822176E-2</v>
      </c>
    </row>
    <row r="5" spans="1:16" ht="30">
      <c r="A5" s="15" t="s">
        <v>17</v>
      </c>
      <c r="B5" s="81">
        <v>4.7899999999999998E-2</v>
      </c>
      <c r="C5" s="81">
        <v>5.2499999999999998E-2</v>
      </c>
      <c r="D5" s="81">
        <v>5.7099999999999998E-2</v>
      </c>
      <c r="E5" s="81">
        <v>6.1499999999999999E-2</v>
      </c>
      <c r="F5" s="81">
        <v>6.59E-2</v>
      </c>
      <c r="G5" s="81">
        <v>7.0199999999999999E-2</v>
      </c>
      <c r="H5" s="81">
        <v>7.4499999999999997E-2</v>
      </c>
      <c r="I5" s="81">
        <v>7.8600000000000003E-2</v>
      </c>
      <c r="J5" s="82">
        <v>8.2500000000000004E-2</v>
      </c>
      <c r="K5" s="19"/>
      <c r="L5" s="20" t="s">
        <v>17</v>
      </c>
      <c r="M5" s="18">
        <v>1</v>
      </c>
      <c r="N5" s="18">
        <f>IF(M5=100%,0,M5-100%)</f>
        <v>0</v>
      </c>
      <c r="O5" s="110"/>
    </row>
    <row r="6" spans="1:16" ht="15.75">
      <c r="A6" s="15" t="s">
        <v>11</v>
      </c>
      <c r="B6" s="81">
        <v>4.7899999999999998E-2</v>
      </c>
      <c r="C6" s="81">
        <v>5.2499999999999998E-2</v>
      </c>
      <c r="D6" s="81">
        <v>5.7099999999999998E-2</v>
      </c>
      <c r="E6" s="81">
        <v>6.1499999999999999E-2</v>
      </c>
      <c r="F6" s="81">
        <v>6.59E-2</v>
      </c>
      <c r="G6" s="81">
        <v>7.0199999999999999E-2</v>
      </c>
      <c r="H6" s="81">
        <v>7.4499999999999997E-2</v>
      </c>
      <c r="I6" s="81">
        <v>7.8600000000000003E-2</v>
      </c>
      <c r="J6" s="82">
        <v>8.2500000000000004E-2</v>
      </c>
      <c r="K6" s="16"/>
      <c r="L6" s="20" t="s">
        <v>11</v>
      </c>
      <c r="M6" s="18">
        <v>1</v>
      </c>
      <c r="N6" s="18">
        <f>IF(M6=100%,0,M6-100%)</f>
        <v>0</v>
      </c>
      <c r="O6" s="110"/>
    </row>
    <row r="7" spans="1:16" ht="16.5" thickBot="1">
      <c r="A7" s="21" t="s">
        <v>12</v>
      </c>
      <c r="B7" s="83">
        <v>7.2099999999999997E-2</v>
      </c>
      <c r="C7" s="83">
        <v>7.0599999999999996E-2</v>
      </c>
      <c r="D7" s="83">
        <v>6.9000000000000006E-2</v>
      </c>
      <c r="E7" s="83">
        <v>6.7500000000000004E-2</v>
      </c>
      <c r="F7" s="83">
        <v>6.59E-2</v>
      </c>
      <c r="G7" s="83">
        <v>6.4299999999999996E-2</v>
      </c>
      <c r="H7" s="83">
        <v>6.2700000000000006E-2</v>
      </c>
      <c r="I7" s="83">
        <v>6.1100000000000002E-2</v>
      </c>
      <c r="J7" s="84">
        <v>5.9499999999999997E-2</v>
      </c>
      <c r="K7" s="16"/>
      <c r="L7" s="22" t="s">
        <v>12</v>
      </c>
      <c r="M7" s="23">
        <v>1</v>
      </c>
      <c r="N7" s="23">
        <f>IF(M7=100%,0,M7-100%)</f>
        <v>0</v>
      </c>
      <c r="O7" s="111"/>
    </row>
    <row r="9" spans="1:16" ht="15.75" thickBot="1"/>
    <row r="10" spans="1:16" ht="45.75" thickBot="1">
      <c r="L10" s="24" t="s">
        <v>13</v>
      </c>
      <c r="M10" s="25" t="s">
        <v>14</v>
      </c>
      <c r="N10" s="25" t="s">
        <v>18</v>
      </c>
      <c r="O10" s="25" t="s">
        <v>11</v>
      </c>
      <c r="P10" s="26" t="s">
        <v>15</v>
      </c>
    </row>
    <row r="11" spans="1:16" ht="45.75" thickBot="1">
      <c r="L11" s="27" t="s">
        <v>16</v>
      </c>
      <c r="M11" s="85">
        <v>-8.8499999999999995E-2</v>
      </c>
      <c r="N11" s="85">
        <v>8.3400000000000002E-2</v>
      </c>
      <c r="O11" s="85">
        <v>8.3400000000000002E-2</v>
      </c>
      <c r="P11" s="85">
        <v>-0.22889999999999999</v>
      </c>
    </row>
  </sheetData>
  <mergeCells count="2">
    <mergeCell ref="L2:O2"/>
    <mergeCell ref="O4:O7"/>
  </mergeCells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Parameters</vt:lpstr>
      <vt:lpstr>IRR</vt:lpstr>
      <vt:lpstr>Sensitivity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2012-12-15T16:09:17Z</dcterms:modified>
</cp:coreProperties>
</file>